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8720" windowHeight="7245"/>
  </bookViews>
  <sheets>
    <sheet name="DR-1" sheetId="4" r:id="rId1"/>
  </sheets>
  <definedNames>
    <definedName name="_xlnm.Print_Area" localSheetId="0">'DR-1'!$A$1:$K$68</definedName>
    <definedName name="_xlnm.Print_Titles" localSheetId="0">'DR-1'!$1:$13</definedName>
  </definedNames>
  <calcPr calcId="145621"/>
</workbook>
</file>

<file path=xl/calcChain.xml><?xml version="1.0" encoding="utf-8"?>
<calcChain xmlns="http://schemas.openxmlformats.org/spreadsheetml/2006/main">
  <c r="I68" i="4" l="1"/>
  <c r="H68" i="4"/>
  <c r="G68" i="4"/>
  <c r="H51" i="4" l="1"/>
  <c r="I51" i="4"/>
  <c r="G51" i="4"/>
  <c r="G58" i="4"/>
  <c r="C9" i="4"/>
  <c r="H33" i="4" s="1"/>
  <c r="G52" i="4"/>
  <c r="G44" i="4"/>
  <c r="H40" i="4"/>
  <c r="I40" i="4"/>
  <c r="G40" i="4"/>
  <c r="G24" i="4"/>
  <c r="I24" i="4"/>
  <c r="G33" i="4" l="1"/>
  <c r="I52" i="4"/>
  <c r="I33" i="4"/>
  <c r="I23" i="4" l="1"/>
  <c r="H23" i="4"/>
  <c r="H24" i="4" s="1"/>
  <c r="H52" i="4" s="1"/>
  <c r="G23" i="4"/>
  <c r="H58" i="4" l="1"/>
  <c r="I65" i="4"/>
  <c r="I64" i="4"/>
  <c r="I63" i="4"/>
  <c r="I62" i="4"/>
  <c r="I61" i="4"/>
  <c r="I60" i="4"/>
  <c r="I59" i="4"/>
  <c r="I58" i="4"/>
  <c r="H65" i="4"/>
  <c r="H64" i="4"/>
  <c r="H63" i="4"/>
  <c r="H62" i="4"/>
  <c r="H61" i="4"/>
  <c r="H60" i="4"/>
  <c r="H59" i="4"/>
  <c r="G65" i="4"/>
  <c r="G64" i="4"/>
  <c r="G63" i="4"/>
  <c r="G62" i="4"/>
  <c r="G61" i="4"/>
  <c r="G60" i="4"/>
  <c r="G59" i="4"/>
  <c r="G20" i="4"/>
  <c r="G25" i="4"/>
  <c r="I20" i="4"/>
  <c r="H20" i="4"/>
  <c r="H25" i="4"/>
  <c r="I25" i="4"/>
  <c r="H37" i="4" l="1"/>
  <c r="H39" i="4" s="1"/>
  <c r="G27" i="4"/>
  <c r="G31" i="4" s="1"/>
  <c r="G28" i="4"/>
  <c r="G32" i="4" s="1"/>
  <c r="I28" i="4"/>
  <c r="H28" i="4"/>
  <c r="H32" i="4" s="1"/>
  <c r="G37" i="4"/>
  <c r="G39" i="4" s="1"/>
  <c r="G41" i="4" s="1"/>
  <c r="G42" i="4" s="1"/>
  <c r="E59" i="4" l="1"/>
  <c r="E60" i="4"/>
  <c r="E61" i="4"/>
  <c r="E62" i="4"/>
  <c r="E63" i="4"/>
  <c r="E64" i="4"/>
  <c r="E65" i="4"/>
  <c r="E58" i="4"/>
  <c r="I45" i="4"/>
  <c r="H45" i="4"/>
  <c r="G45" i="4"/>
  <c r="G66" i="4" l="1"/>
  <c r="H53" i="4"/>
  <c r="I66" i="4"/>
  <c r="H66" i="4"/>
  <c r="G53" i="4"/>
  <c r="I27" i="4"/>
  <c r="I31" i="4" s="1"/>
  <c r="I37" i="4"/>
  <c r="I39" i="4" s="1"/>
  <c r="I32" i="4"/>
  <c r="H27" i="4" l="1"/>
  <c r="H31" i="4" s="1"/>
  <c r="H34" i="4" s="1"/>
  <c r="G34" i="4"/>
  <c r="I34" i="4"/>
  <c r="G46" i="4"/>
  <c r="H41" i="4"/>
  <c r="I53" i="4"/>
  <c r="I41" i="4"/>
  <c r="I42" i="4" s="1"/>
  <c r="I46" i="4" l="1"/>
  <c r="I44" i="4"/>
  <c r="H42" i="4"/>
  <c r="H44" i="4" s="1"/>
  <c r="H46" i="4" s="1"/>
</calcChain>
</file>

<file path=xl/sharedStrings.xml><?xml version="1.0" encoding="utf-8"?>
<sst xmlns="http://schemas.openxmlformats.org/spreadsheetml/2006/main" count="94" uniqueCount="88">
  <si>
    <t>Scenario i)</t>
  </si>
  <si>
    <t>Scenario ii)</t>
  </si>
  <si>
    <t>Scenario iii)</t>
  </si>
  <si>
    <t>Top Up MWh delivered by NS Power in the hour</t>
  </si>
  <si>
    <t>Spill MWh received by NS Power in the hour</t>
  </si>
  <si>
    <t>Charges for Top Up MWh delivered by NS Power in the hour</t>
  </si>
  <si>
    <t>Credits for Spill MWh received by NS Power in the hour</t>
  </si>
  <si>
    <t>EBS Charges</t>
  </si>
  <si>
    <t>Standby Services Charges</t>
  </si>
  <si>
    <t>EBS Administration Charge applicable to the hour ($1053.03/730 hours)</t>
  </si>
  <si>
    <t>LWPFD</t>
  </si>
  <si>
    <r>
      <t>Customer Load on Distribution Sub. A (MW)</t>
    </r>
    <r>
      <rPr>
        <vertAlign val="superscript"/>
        <sz val="11"/>
        <color theme="1"/>
        <rFont val="Calibri"/>
        <family val="2"/>
        <scheme val="minor"/>
      </rPr>
      <t>3</t>
    </r>
  </si>
  <si>
    <r>
      <t>CMDAF</t>
    </r>
    <r>
      <rPr>
        <b/>
        <vertAlign val="superscript"/>
        <sz val="11"/>
        <color theme="1"/>
        <rFont val="Calibri"/>
        <family val="2"/>
        <scheme val="minor"/>
      </rPr>
      <t>4</t>
    </r>
  </si>
  <si>
    <t>Min (LWPFD,CC*GC/(1+PR)</t>
  </si>
  <si>
    <t>Standby Demand Charge applicable in the hour</t>
  </si>
  <si>
    <t>Total EBS</t>
  </si>
  <si>
    <t>Total SS</t>
  </si>
  <si>
    <r>
      <t>Distribution Tariff Charges</t>
    </r>
    <r>
      <rPr>
        <b/>
        <vertAlign val="superscript"/>
        <sz val="11"/>
        <color theme="1"/>
        <rFont val="Calibri"/>
        <family val="2"/>
        <scheme val="minor"/>
      </rPr>
      <t>5</t>
    </r>
  </si>
  <si>
    <t>Domestic</t>
  </si>
  <si>
    <t>DT rate</t>
  </si>
  <si>
    <r>
      <rPr>
        <sz val="11"/>
        <color theme="1"/>
        <rFont val="Calibri"/>
        <family val="2"/>
      </rPr>
      <t>¢</t>
    </r>
    <r>
      <rPr>
        <sz val="8.8000000000000007"/>
        <color theme="1"/>
        <rFont val="Calibri"/>
        <family val="2"/>
      </rPr>
      <t>/kWh</t>
    </r>
  </si>
  <si>
    <t>Total DT</t>
  </si>
  <si>
    <r>
      <rPr>
        <b/>
        <vertAlign val="superscript"/>
        <sz val="11"/>
        <color theme="1"/>
        <rFont val="Calibri"/>
        <family val="2"/>
        <scheme val="minor"/>
      </rPr>
      <t>6</t>
    </r>
    <r>
      <rPr>
        <b/>
        <sz val="11"/>
        <color theme="1"/>
        <rFont val="Calibri"/>
        <family val="2"/>
        <scheme val="minor"/>
      </rPr>
      <t xml:space="preserve"> Includes all ancillary services</t>
    </r>
  </si>
  <si>
    <t>Sch 1</t>
  </si>
  <si>
    <t>$/MW/Month</t>
  </si>
  <si>
    <t>Sch 2</t>
  </si>
  <si>
    <t>Scheduling/Sys Control</t>
  </si>
  <si>
    <t>Reactive Supply/Voltage</t>
  </si>
  <si>
    <t>Sch 3</t>
  </si>
  <si>
    <t>Load Following</t>
  </si>
  <si>
    <t>Regulation</t>
  </si>
  <si>
    <t>Sch 5</t>
  </si>
  <si>
    <t>Spinning reserve</t>
  </si>
  <si>
    <t>Sch 6</t>
  </si>
  <si>
    <t>Op reserve 10 min.</t>
  </si>
  <si>
    <t>Op reserve 30 min.</t>
  </si>
  <si>
    <t>Sch 10</t>
  </si>
  <si>
    <t>Network Trans service</t>
  </si>
  <si>
    <t>Total OATT</t>
  </si>
  <si>
    <r>
      <t>Transmission Tariff Charges</t>
    </r>
    <r>
      <rPr>
        <b/>
        <vertAlign val="superscript"/>
        <sz val="11"/>
        <color theme="1"/>
        <rFont val="Calibri"/>
        <family val="2"/>
        <scheme val="minor"/>
      </rPr>
      <t>6</t>
    </r>
  </si>
  <si>
    <t>DR-1 Generator Distribution Connected</t>
  </si>
  <si>
    <t>$/MW/hr</t>
  </si>
  <si>
    <t>Top Up rate ¢/kWh</t>
  </si>
  <si>
    <t>Value</t>
  </si>
  <si>
    <t>Energy Balancing Service</t>
  </si>
  <si>
    <t>Standby Services Tariff</t>
  </si>
  <si>
    <t>GC = Generator Capacity (MW)</t>
  </si>
  <si>
    <t>PR (Planning Reserve)</t>
  </si>
  <si>
    <t>(NPCC planning criteria)</t>
  </si>
  <si>
    <r>
      <rPr>
        <vertAlign val="superscript"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>Spill rate ¢/kWh</t>
    </r>
  </si>
  <si>
    <r>
      <rPr>
        <vertAlign val="superscript"/>
        <sz val="11"/>
        <color theme="1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>CC = capacity contribution factor</t>
    </r>
  </si>
  <si>
    <r>
      <rPr>
        <b/>
        <vertAlign val="superscript"/>
        <sz val="11"/>
        <color theme="1"/>
        <rFont val="Calibri"/>
        <family val="2"/>
        <scheme val="minor"/>
      </rPr>
      <t>8</t>
    </r>
    <r>
      <rPr>
        <b/>
        <sz val="11"/>
        <color theme="1"/>
        <rFont val="Calibri"/>
        <family val="2"/>
        <scheme val="minor"/>
      </rPr>
      <t>Assumes renewable generator is a wind generator</t>
    </r>
  </si>
  <si>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Assumes quantities as metered at the generator output and at the distribution load.</t>
    </r>
  </si>
  <si>
    <t>Note: each scenario considered to occur in a different month</t>
  </si>
  <si>
    <t>Assumptions and Fixed Inputs</t>
  </si>
  <si>
    <t>Assumptions:</t>
  </si>
  <si>
    <t>System Ave. Loss Factor</t>
  </si>
  <si>
    <r>
      <t>Generation adjusted for losses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</si>
  <si>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Standby Services Admin. Charge applicable to the hour ($1053.03/730 hours)</t>
  </si>
  <si>
    <t>(from Table in SS Tariff)</t>
  </si>
  <si>
    <t>LRS Aggregate customer load (MWh) in the hour</t>
  </si>
  <si>
    <r>
      <rPr>
        <b/>
        <vertAlign val="superscript"/>
        <sz val="11"/>
        <color theme="1"/>
        <rFont val="Calibri"/>
        <family val="2"/>
        <scheme val="minor"/>
      </rPr>
      <t>5</t>
    </r>
    <r>
      <rPr>
        <b/>
        <sz val="11"/>
        <color theme="1"/>
        <rFont val="Calibri"/>
        <family val="2"/>
        <scheme val="minor"/>
      </rPr>
      <t>Assume Distribution connected load is 100% Domestic class</t>
    </r>
  </si>
  <si>
    <t>(from NS Power OASIS site)</t>
  </si>
  <si>
    <r>
      <t>CMPFD</t>
    </r>
    <r>
      <rPr>
        <b/>
        <vertAlign val="superscript"/>
        <sz val="11"/>
        <color theme="1"/>
        <rFont val="Calibri"/>
        <family val="2"/>
        <scheme val="minor"/>
      </rPr>
      <t>4,9</t>
    </r>
  </si>
  <si>
    <r>
      <t>CC*GC/(1+PR)</t>
    </r>
    <r>
      <rPr>
        <b/>
        <vertAlign val="superscript"/>
        <sz val="11"/>
        <color theme="1"/>
        <rFont val="Calibri"/>
        <family val="2"/>
        <scheme val="minor"/>
      </rPr>
      <t>8</t>
    </r>
  </si>
  <si>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Assumes each scenario considered to occur in a different month</t>
    </r>
  </si>
  <si>
    <r>
      <rPr>
        <b/>
        <vertAlign val="superscript"/>
        <sz val="11"/>
        <color theme="1"/>
        <rFont val="Calibri"/>
        <family val="2"/>
        <scheme val="minor"/>
      </rPr>
      <t>7</t>
    </r>
    <r>
      <rPr>
        <b/>
        <sz val="11"/>
        <color theme="1"/>
        <rFont val="Calibri"/>
        <family val="2"/>
        <scheme val="minor"/>
      </rPr>
      <t>Assumes annual excess spill quantity in the range of 0%-10% of annual LRS load</t>
    </r>
  </si>
  <si>
    <r>
      <t>LRS Aggregate Load adjusted for distribution losses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</si>
  <si>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Based on LRS aggregate load in each Scenario</t>
  </si>
  <si>
    <t>Based on quantities as metered at the distribution level</t>
  </si>
  <si>
    <t>Distribution Losses</t>
  </si>
  <si>
    <t>MSCD (MW)</t>
  </si>
  <si>
    <t>(from 2014 COSS - domestic dist losses: Feb)</t>
  </si>
  <si>
    <t xml:space="preserve"> Note: EBS hourly Top-up and Spill quantities are determined at the delivery point from the transmission system</t>
  </si>
  <si>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Transmission losses assumed at 2.28% and Dist. losses assumed at 7.7%</t>
    </r>
  </si>
  <si>
    <r>
      <rPr>
        <b/>
        <vertAlign val="superscript"/>
        <sz val="11"/>
        <rFont val="Calibri"/>
        <family val="2"/>
        <scheme val="minor"/>
      </rPr>
      <t>4</t>
    </r>
    <r>
      <rPr>
        <b/>
        <sz val="11"/>
        <color theme="1"/>
        <rFont val="Calibri"/>
        <family val="2"/>
        <scheme val="minor"/>
      </rPr>
      <t>Assume load as metered is a peak for the month and occurs in a winter month (Jan/Feb/Dec), CMDAF= 1.0</t>
    </r>
  </si>
  <si>
    <r>
      <rPr>
        <b/>
        <vertAlign val="superscript"/>
        <sz val="11"/>
        <color theme="1"/>
        <rFont val="Calibri"/>
        <family val="2"/>
        <scheme val="minor"/>
      </rPr>
      <t>9</t>
    </r>
    <r>
      <rPr>
        <b/>
        <sz val="11"/>
        <color theme="1"/>
        <rFont val="Calibri"/>
        <family val="2"/>
        <scheme val="minor"/>
      </rPr>
      <t xml:space="preserve">Assumes customer load as firm load with peak occurring coincident with system firm load </t>
    </r>
  </si>
  <si>
    <r>
      <t>Renewable Generator Capacity</t>
    </r>
    <r>
      <rPr>
        <b/>
        <vertAlign val="superscript"/>
        <sz val="11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 xml:space="preserve"> </t>
    </r>
  </si>
  <si>
    <r>
      <rPr>
        <b/>
        <vertAlign val="superscript"/>
        <sz val="11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>Assumes that the Generation facility is suitable sized to meet the contracted amount of annual LRS RtR energy, i.e. GC=MSC (Maximum Spill Capacity).</t>
    </r>
  </si>
  <si>
    <r>
      <rPr>
        <b/>
        <vertAlign val="superscript"/>
        <sz val="11"/>
        <color theme="1"/>
        <rFont val="Calibri"/>
        <family val="2"/>
        <scheme val="minor"/>
      </rPr>
      <t>11</t>
    </r>
    <r>
      <rPr>
        <b/>
        <sz val="11"/>
        <color theme="1"/>
        <rFont val="Calibri"/>
        <family val="2"/>
        <scheme val="minor"/>
      </rPr>
      <t>No Embedded Cost Recovery Charges are included in these calculations</t>
    </r>
  </si>
  <si>
    <r>
      <t>Total Tariff Charges for each specific hour under study</t>
    </r>
    <r>
      <rPr>
        <b/>
        <vertAlign val="superscript"/>
        <sz val="11"/>
        <color theme="1"/>
        <rFont val="Calibri"/>
        <family val="2"/>
        <scheme val="minor"/>
      </rPr>
      <t>11</t>
    </r>
  </si>
  <si>
    <t xml:space="preserve">Demand Charge per mo. Per kW </t>
  </si>
  <si>
    <r>
      <rPr>
        <b/>
        <vertAlign val="superscript"/>
        <sz val="11"/>
        <color theme="1"/>
        <rFont val="Calibri"/>
        <family val="2"/>
        <scheme val="minor"/>
      </rPr>
      <t>12</t>
    </r>
    <r>
      <rPr>
        <b/>
        <sz val="11"/>
        <color theme="1"/>
        <rFont val="Calibri"/>
        <family val="2"/>
        <scheme val="minor"/>
      </rPr>
      <t>Average Domestic Customer load is 2.5 kW (Winter example)</t>
    </r>
  </si>
  <si>
    <r>
      <t>Number of Customers</t>
    </r>
    <r>
      <rPr>
        <b/>
        <vertAlign val="superscript"/>
        <sz val="11"/>
        <color theme="1"/>
        <rFont val="Calibri"/>
        <family val="2"/>
        <scheme val="minor"/>
      </rPr>
      <t>12</t>
    </r>
  </si>
  <si>
    <t xml:space="preserve">Average hours per month </t>
  </si>
  <si>
    <t>=365*24/12</t>
  </si>
  <si>
    <r>
      <t>Hourly Generation (MW)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</si>
  <si>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>Fixed Customer Charge/mo./customer</t>
    </r>
    <r>
      <rPr>
        <vertAlign val="superscript"/>
        <sz val="11"/>
        <color theme="1"/>
        <rFont val="Calibri"/>
        <family val="2"/>
        <scheme val="minor"/>
      </rPr>
      <t>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</si>
</sst>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$&quot;* #,##0.00_);_(&quot;$&quot;* \(#,##0.00\);_(&quot;$&quot;* &quot;-&quot;??_);_(@_)"/>
    <numFmt numFmtId="165" formatCode="0.0"/>
    <numFmt numFmtId="166" formatCode="_(&quot;$&quot;* #,##0.0000_);_(&quot;$&quot;* \(#,##0.0000\);_(&quot;$&quot;* &quot;-&quot;??_);_(@_)"/>
    <numFmt numFmtId="167" formatCode="_(&quot;$&quot;* #,##0.000_);_(&quot;$&quot;* \(#,##0.000\);_(&quot;$&quot;* &quot;-&quot;??_);_(@_)"/>
    <numFmt numFmtId="168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8.8000000000000007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horizontal="right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Border="1"/>
    <xf numFmtId="0" fontId="2" fillId="0" borderId="0" xfId="0" applyFont="1" applyBorder="1" applyAlignment="1">
      <alignment horizontal="right"/>
    </xf>
    <xf numFmtId="165" fontId="0" fillId="0" borderId="0" xfId="0" applyNumberForma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Fill="1" applyBorder="1" applyAlignment="1">
      <alignment horizontal="right"/>
    </xf>
    <xf numFmtId="0" fontId="2" fillId="0" borderId="0" xfId="0" applyFont="1"/>
    <xf numFmtId="165" fontId="0" fillId="0" borderId="0" xfId="0" applyNumberFormat="1" applyBorder="1" applyAlignment="1">
      <alignment horizontal="right"/>
    </xf>
    <xf numFmtId="0" fontId="0" fillId="0" borderId="4" xfId="0" applyBorder="1"/>
    <xf numFmtId="0" fontId="2" fillId="0" borderId="4" xfId="0" applyFont="1" applyFill="1" applyBorder="1" applyAlignment="1">
      <alignment horizontal="right"/>
    </xf>
    <xf numFmtId="164" fontId="0" fillId="0" borderId="4" xfId="1" applyFont="1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2" fillId="0" borderId="6" xfId="0" applyFont="1" applyFill="1" applyBorder="1" applyAlignment="1">
      <alignment horizontal="right"/>
    </xf>
    <xf numFmtId="164" fontId="0" fillId="0" borderId="6" xfId="1" applyFont="1" applyBorder="1" applyAlignment="1">
      <alignment horizontal="right"/>
    </xf>
    <xf numFmtId="164" fontId="0" fillId="0" borderId="7" xfId="1" applyFont="1" applyBorder="1" applyAlignment="1">
      <alignment horizontal="right"/>
    </xf>
    <xf numFmtId="0" fontId="0" fillId="0" borderId="8" xfId="0" applyBorder="1"/>
    <xf numFmtId="164" fontId="0" fillId="0" borderId="9" xfId="1" applyFont="1" applyBorder="1" applyAlignment="1">
      <alignment horizontal="right"/>
    </xf>
    <xf numFmtId="0" fontId="0" fillId="0" borderId="10" xfId="0" applyBorder="1"/>
    <xf numFmtId="0" fontId="0" fillId="0" borderId="11" xfId="0" applyBorder="1"/>
    <xf numFmtId="0" fontId="2" fillId="0" borderId="11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0" fillId="0" borderId="14" xfId="0" applyBorder="1"/>
    <xf numFmtId="164" fontId="0" fillId="0" borderId="14" xfId="1" applyFont="1" applyBorder="1"/>
    <xf numFmtId="0" fontId="0" fillId="0" borderId="16" xfId="0" applyBorder="1"/>
    <xf numFmtId="0" fontId="0" fillId="0" borderId="17" xfId="0" applyBorder="1"/>
    <xf numFmtId="164" fontId="0" fillId="0" borderId="0" xfId="1" applyFont="1" applyBorder="1"/>
    <xf numFmtId="0" fontId="3" fillId="0" borderId="2" xfId="0" applyFont="1" applyBorder="1"/>
    <xf numFmtId="164" fontId="0" fillId="0" borderId="2" xfId="1" applyFont="1" applyBorder="1"/>
    <xf numFmtId="166" fontId="0" fillId="0" borderId="0" xfId="0" applyNumberFormat="1"/>
    <xf numFmtId="164" fontId="0" fillId="0" borderId="3" xfId="0" applyNumberFormat="1" applyBorder="1"/>
    <xf numFmtId="164" fontId="0" fillId="0" borderId="20" xfId="0" applyNumberFormat="1" applyBorder="1"/>
    <xf numFmtId="164" fontId="0" fillId="0" borderId="15" xfId="0" applyNumberFormat="1" applyBorder="1"/>
    <xf numFmtId="166" fontId="0" fillId="0" borderId="2" xfId="0" applyNumberFormat="1" applyBorder="1"/>
    <xf numFmtId="0" fontId="0" fillId="0" borderId="0" xfId="0" applyBorder="1" applyAlignment="1">
      <alignment horizontal="right"/>
    </xf>
    <xf numFmtId="166" fontId="0" fillId="0" borderId="0" xfId="0" applyNumberFormat="1" applyBorder="1"/>
    <xf numFmtId="166" fontId="0" fillId="0" borderId="14" xfId="0" applyNumberFormat="1" applyBorder="1"/>
    <xf numFmtId="0" fontId="2" fillId="0" borderId="0" xfId="0" applyFont="1" applyAlignment="1">
      <alignment horizontal="left"/>
    </xf>
    <xf numFmtId="165" fontId="2" fillId="0" borderId="0" xfId="0" applyNumberFormat="1" applyFont="1" applyBorder="1" applyAlignment="1">
      <alignment horizontal="left"/>
    </xf>
    <xf numFmtId="165" fontId="0" fillId="0" borderId="22" xfId="0" applyNumberFormat="1" applyBorder="1" applyAlignment="1">
      <alignment horizontal="center"/>
    </xf>
    <xf numFmtId="0" fontId="8" fillId="0" borderId="0" xfId="0" applyFont="1"/>
    <xf numFmtId="0" fontId="9" fillId="0" borderId="0" xfId="0" applyFont="1"/>
    <xf numFmtId="168" fontId="0" fillId="0" borderId="22" xfId="0" applyNumberFormat="1" applyBorder="1" applyAlignment="1">
      <alignment horizontal="center"/>
    </xf>
    <xf numFmtId="168" fontId="0" fillId="0" borderId="23" xfId="0" applyNumberFormat="1" applyBorder="1" applyAlignment="1">
      <alignment horizontal="center"/>
    </xf>
    <xf numFmtId="164" fontId="0" fillId="0" borderId="22" xfId="0" applyNumberFormat="1" applyBorder="1"/>
    <xf numFmtId="164" fontId="0" fillId="0" borderId="24" xfId="0" applyNumberFormat="1" applyBorder="1"/>
    <xf numFmtId="0" fontId="0" fillId="0" borderId="0" xfId="0" applyFill="1"/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165" fontId="2" fillId="0" borderId="0" xfId="0" applyNumberFormat="1" applyFont="1" applyBorder="1" applyAlignment="1">
      <alignment horizontal="right"/>
    </xf>
    <xf numFmtId="165" fontId="2" fillId="0" borderId="0" xfId="0" applyNumberFormat="1" applyFont="1" applyFill="1" applyBorder="1" applyAlignment="1">
      <alignment horizontal="left"/>
    </xf>
    <xf numFmtId="0" fontId="2" fillId="0" borderId="16" xfId="0" applyFont="1" applyFill="1" applyBorder="1" applyAlignment="1">
      <alignment horizontal="right"/>
    </xf>
    <xf numFmtId="164" fontId="2" fillId="0" borderId="17" xfId="0" applyNumberFormat="1" applyFont="1" applyFill="1" applyBorder="1"/>
    <xf numFmtId="164" fontId="2" fillId="0" borderId="18" xfId="0" applyNumberFormat="1" applyFont="1" applyFill="1" applyBorder="1"/>
    <xf numFmtId="0" fontId="2" fillId="0" borderId="17" xfId="0" applyFont="1" applyFill="1" applyBorder="1" applyAlignment="1">
      <alignment horizontal="right"/>
    </xf>
    <xf numFmtId="164" fontId="2" fillId="0" borderId="0" xfId="0" applyNumberFormat="1" applyFont="1" applyFill="1" applyBorder="1"/>
    <xf numFmtId="0" fontId="2" fillId="0" borderId="13" xfId="0" applyFont="1" applyFill="1" applyBorder="1" applyAlignment="1">
      <alignment horizontal="right"/>
    </xf>
    <xf numFmtId="164" fontId="2" fillId="0" borderId="14" xfId="0" applyNumberFormat="1" applyFont="1" applyFill="1" applyBorder="1"/>
    <xf numFmtId="164" fontId="2" fillId="0" borderId="15" xfId="0" applyNumberFormat="1" applyFont="1" applyFill="1" applyBorder="1"/>
    <xf numFmtId="0" fontId="0" fillId="0" borderId="1" xfId="0" applyBorder="1" applyAlignment="1"/>
    <xf numFmtId="164" fontId="0" fillId="0" borderId="28" xfId="0" applyNumberFormat="1" applyBorder="1"/>
    <xf numFmtId="0" fontId="0" fillId="0" borderId="19" xfId="0" applyBorder="1" applyAlignment="1"/>
    <xf numFmtId="0" fontId="0" fillId="0" borderId="13" xfId="0" applyBorder="1" applyAlignment="1"/>
    <xf numFmtId="0" fontId="0" fillId="0" borderId="0" xfId="0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168" fontId="0" fillId="0" borderId="0" xfId="0" applyNumberFormat="1" applyBorder="1" applyAlignment="1">
      <alignment horizontal="center"/>
    </xf>
    <xf numFmtId="0" fontId="11" fillId="0" borderId="0" xfId="0" applyFont="1" applyFill="1" applyAlignment="1">
      <alignment horizontal="left"/>
    </xf>
    <xf numFmtId="168" fontId="0" fillId="0" borderId="22" xfId="0" applyNumberForma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0" fillId="0" borderId="0" xfId="0" applyFill="1" applyBorder="1"/>
    <xf numFmtId="165" fontId="0" fillId="0" borderId="0" xfId="0" applyNumberFormat="1" applyFill="1" applyBorder="1" applyAlignment="1">
      <alignment horizontal="right"/>
    </xf>
    <xf numFmtId="9" fontId="0" fillId="0" borderId="0" xfId="0" applyNumberFormat="1" applyBorder="1"/>
    <xf numFmtId="10" fontId="0" fillId="0" borderId="0" xfId="0" applyNumberFormat="1" applyFill="1" applyBorder="1"/>
    <xf numFmtId="1" fontId="0" fillId="0" borderId="22" xfId="0" applyNumberFormat="1" applyBorder="1" applyAlignment="1">
      <alignment horizontal="center"/>
    </xf>
    <xf numFmtId="0" fontId="0" fillId="0" borderId="0" xfId="0" quotePrefix="1" applyBorder="1" applyAlignment="1">
      <alignment horizontal="right"/>
    </xf>
    <xf numFmtId="168" fontId="0" fillId="0" borderId="21" xfId="0" applyNumberFormat="1" applyBorder="1"/>
    <xf numFmtId="168" fontId="0" fillId="0" borderId="22" xfId="0" applyNumberFormat="1" applyBorder="1"/>
    <xf numFmtId="168" fontId="0" fillId="0" borderId="23" xfId="0" applyNumberFormat="1" applyBorder="1"/>
    <xf numFmtId="0" fontId="2" fillId="0" borderId="2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167" fontId="0" fillId="0" borderId="30" xfId="1" applyNumberFormat="1" applyFont="1" applyFill="1" applyBorder="1"/>
    <xf numFmtId="167" fontId="0" fillId="0" borderId="31" xfId="0" applyNumberFormat="1" applyBorder="1"/>
    <xf numFmtId="167" fontId="0" fillId="0" borderId="34" xfId="0" applyNumberFormat="1" applyBorder="1"/>
    <xf numFmtId="167" fontId="0" fillId="0" borderId="24" xfId="0" applyNumberFormat="1" applyBorder="1"/>
    <xf numFmtId="164" fontId="0" fillId="0" borderId="30" xfId="1" applyFont="1" applyBorder="1"/>
    <xf numFmtId="164" fontId="0" fillId="0" borderId="31" xfId="1" applyFont="1" applyBorder="1"/>
    <xf numFmtId="164" fontId="0" fillId="0" borderId="33" xfId="1" applyFont="1" applyBorder="1"/>
    <xf numFmtId="164" fontId="0" fillId="0" borderId="34" xfId="1" applyFont="1" applyBorder="1"/>
    <xf numFmtId="164" fontId="2" fillId="0" borderId="29" xfId="0" applyNumberFormat="1" applyFont="1" applyFill="1" applyBorder="1"/>
    <xf numFmtId="164" fontId="2" fillId="0" borderId="32" xfId="0" applyNumberFormat="1" applyFont="1" applyFill="1" applyBorder="1"/>
    <xf numFmtId="164" fontId="0" fillId="0" borderId="11" xfId="1" applyNumberFormat="1" applyFont="1" applyBorder="1" applyAlignment="1">
      <alignment horizontal="right"/>
    </xf>
    <xf numFmtId="164" fontId="0" fillId="0" borderId="12" xfId="1" applyNumberFormat="1" applyFont="1" applyBorder="1" applyAlignment="1">
      <alignment horizontal="right"/>
    </xf>
    <xf numFmtId="164" fontId="0" fillId="0" borderId="0" xfId="1" applyFont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2"/>
  <sheetViews>
    <sheetView tabSelected="1" zoomScale="85" zoomScaleNormal="85" workbookViewId="0">
      <selection activeCell="K63" sqref="K63"/>
    </sheetView>
  </sheetViews>
  <sheetFormatPr defaultRowHeight="15" x14ac:dyDescent="0.25"/>
  <cols>
    <col min="1" max="1" width="25.5703125" customWidth="1"/>
    <col min="2" max="2" width="36.85546875" customWidth="1"/>
    <col min="3" max="3" width="16.7109375" customWidth="1"/>
    <col min="4" max="5" width="15.7109375" customWidth="1"/>
    <col min="6" max="6" width="28.28515625" customWidth="1"/>
    <col min="7" max="9" width="18.7109375" customWidth="1"/>
    <col min="10" max="11" width="17.85546875" customWidth="1"/>
  </cols>
  <sheetData>
    <row r="1" spans="1:10" ht="18.75" x14ac:dyDescent="0.3">
      <c r="A1" s="48" t="s">
        <v>40</v>
      </c>
      <c r="B1" s="48"/>
      <c r="C1" s="48"/>
      <c r="E1" s="47" t="s">
        <v>55</v>
      </c>
    </row>
    <row r="2" spans="1:10" ht="17.25" x14ac:dyDescent="0.25">
      <c r="A2" s="76" t="s">
        <v>54</v>
      </c>
      <c r="B2" s="5"/>
      <c r="C2" s="77" t="s">
        <v>43</v>
      </c>
      <c r="E2" s="44" t="s">
        <v>65</v>
      </c>
    </row>
    <row r="3" spans="1:10" ht="17.25" x14ac:dyDescent="0.25">
      <c r="A3" s="6" t="s">
        <v>44</v>
      </c>
      <c r="B3" s="41" t="s">
        <v>42</v>
      </c>
      <c r="C3" s="78">
        <v>10.101000000000001</v>
      </c>
      <c r="E3" s="73" t="s">
        <v>74</v>
      </c>
    </row>
    <row r="4" spans="1:10" ht="17.25" x14ac:dyDescent="0.25">
      <c r="A4" s="6" t="s">
        <v>44</v>
      </c>
      <c r="B4" s="41" t="s">
        <v>49</v>
      </c>
      <c r="C4" s="78">
        <v>5.27</v>
      </c>
      <c r="E4" s="44" t="s">
        <v>52</v>
      </c>
      <c r="F4" s="53"/>
      <c r="G4" s="53"/>
      <c r="H4" s="53"/>
    </row>
    <row r="5" spans="1:10" ht="17.25" x14ac:dyDescent="0.25">
      <c r="A5" s="6" t="s">
        <v>45</v>
      </c>
      <c r="B5" s="70" t="s">
        <v>46</v>
      </c>
      <c r="C5" s="79">
        <v>1</v>
      </c>
      <c r="E5" s="45" t="s">
        <v>75</v>
      </c>
    </row>
    <row r="6" spans="1:10" ht="17.25" x14ac:dyDescent="0.25">
      <c r="A6" s="6" t="s">
        <v>45</v>
      </c>
      <c r="B6" s="41" t="s">
        <v>50</v>
      </c>
      <c r="C6" s="78">
        <v>0.17</v>
      </c>
      <c r="E6" s="45" t="s">
        <v>61</v>
      </c>
    </row>
    <row r="7" spans="1:10" ht="17.25" x14ac:dyDescent="0.25">
      <c r="A7" s="6" t="s">
        <v>45</v>
      </c>
      <c r="B7" s="70" t="s">
        <v>81</v>
      </c>
      <c r="C7" s="101">
        <v>5.37</v>
      </c>
      <c r="D7" s="5"/>
      <c r="E7" s="45" t="s">
        <v>22</v>
      </c>
    </row>
    <row r="8" spans="1:10" ht="17.25" x14ac:dyDescent="0.25">
      <c r="A8" s="6" t="s">
        <v>47</v>
      </c>
      <c r="B8" s="41" t="s">
        <v>48</v>
      </c>
      <c r="C8" s="80">
        <v>0.2</v>
      </c>
      <c r="E8" s="10" t="s">
        <v>66</v>
      </c>
    </row>
    <row r="9" spans="1:10" ht="17.25" x14ac:dyDescent="0.25">
      <c r="A9" s="6" t="s">
        <v>84</v>
      </c>
      <c r="B9" s="83" t="s">
        <v>85</v>
      </c>
      <c r="C9" s="5">
        <f>365*24/12</f>
        <v>730</v>
      </c>
      <c r="E9" s="8" t="s">
        <v>51</v>
      </c>
    </row>
    <row r="10" spans="1:10" ht="17.25" x14ac:dyDescent="0.25">
      <c r="A10" s="9" t="s">
        <v>56</v>
      </c>
      <c r="B10" s="70" t="s">
        <v>62</v>
      </c>
      <c r="C10" s="81">
        <v>2.2800000000000001E-2</v>
      </c>
      <c r="E10" s="57" t="s">
        <v>76</v>
      </c>
    </row>
    <row r="11" spans="1:10" ht="17.25" x14ac:dyDescent="0.25">
      <c r="A11" s="9" t="s">
        <v>70</v>
      </c>
      <c r="B11" s="71" t="s">
        <v>72</v>
      </c>
      <c r="C11" s="81">
        <v>7.6999999999999999E-2</v>
      </c>
      <c r="E11" s="57" t="s">
        <v>78</v>
      </c>
    </row>
    <row r="12" spans="1:10" ht="17.25" x14ac:dyDescent="0.25">
      <c r="B12" s="6"/>
      <c r="E12" s="57" t="s">
        <v>79</v>
      </c>
      <c r="F12" s="53"/>
      <c r="G12" s="53"/>
      <c r="H12" s="53"/>
      <c r="I12" s="53"/>
      <c r="J12" s="53"/>
    </row>
    <row r="13" spans="1:10" ht="17.25" x14ac:dyDescent="0.25">
      <c r="E13" s="57" t="s">
        <v>82</v>
      </c>
    </row>
    <row r="14" spans="1:10" x14ac:dyDescent="0.25">
      <c r="E14" s="57"/>
    </row>
    <row r="15" spans="1:10" x14ac:dyDescent="0.25">
      <c r="B15" s="5"/>
      <c r="G15" s="103" t="s">
        <v>40</v>
      </c>
      <c r="H15" s="104"/>
      <c r="I15" s="105"/>
    </row>
    <row r="16" spans="1:10" x14ac:dyDescent="0.25">
      <c r="B16" s="6"/>
      <c r="G16" s="102" t="s">
        <v>53</v>
      </c>
      <c r="H16" s="102"/>
      <c r="I16" s="102"/>
    </row>
    <row r="17" spans="1:9" x14ac:dyDescent="0.25">
      <c r="B17" s="8"/>
      <c r="C17" s="8"/>
      <c r="G17" s="3" t="s">
        <v>0</v>
      </c>
      <c r="H17" s="3" t="s">
        <v>1</v>
      </c>
      <c r="I17" s="3" t="s">
        <v>2</v>
      </c>
    </row>
    <row r="18" spans="1:9" ht="17.25" x14ac:dyDescent="0.25">
      <c r="A18" s="2"/>
      <c r="B18" s="2"/>
      <c r="C18" s="2"/>
      <c r="F18" s="75" t="s">
        <v>77</v>
      </c>
      <c r="G18" s="46">
        <v>1</v>
      </c>
      <c r="H18" s="46">
        <v>1</v>
      </c>
      <c r="I18" s="46">
        <v>1</v>
      </c>
    </row>
    <row r="19" spans="1:9" ht="17.25" x14ac:dyDescent="0.25">
      <c r="A19" s="2"/>
      <c r="B19" s="2"/>
      <c r="C19" s="2"/>
      <c r="F19" s="4" t="s">
        <v>86</v>
      </c>
      <c r="G19" s="46">
        <v>0.5</v>
      </c>
      <c r="H19" s="46">
        <v>1</v>
      </c>
      <c r="I19" s="46">
        <v>1</v>
      </c>
    </row>
    <row r="20" spans="1:9" ht="17.25" x14ac:dyDescent="0.25">
      <c r="F20" s="56" t="s">
        <v>57</v>
      </c>
      <c r="G20" s="49">
        <f>G19/(1+$C$10)</f>
        <v>0.48885412592882288</v>
      </c>
      <c r="H20" s="49">
        <f>H19/(1+$C$10)</f>
        <v>0.97770825185764576</v>
      </c>
      <c r="I20" s="49">
        <f>I19/(1+$C$10)</f>
        <v>0.97770825185764576</v>
      </c>
    </row>
    <row r="21" spans="1:9" x14ac:dyDescent="0.25">
      <c r="F21" s="56"/>
      <c r="G21" s="49"/>
      <c r="H21" s="49"/>
      <c r="I21" s="49"/>
    </row>
    <row r="22" spans="1:9" ht="17.25" x14ac:dyDescent="0.25">
      <c r="A22" s="8"/>
      <c r="C22" s="8"/>
      <c r="F22" s="4" t="s">
        <v>11</v>
      </c>
      <c r="G22" s="46">
        <v>1</v>
      </c>
      <c r="H22" s="46">
        <v>0.5</v>
      </c>
      <c r="I22" s="46">
        <v>1</v>
      </c>
    </row>
    <row r="23" spans="1:9" ht="17.25" x14ac:dyDescent="0.25">
      <c r="A23" s="2"/>
      <c r="C23" s="2"/>
      <c r="F23" s="4" t="s">
        <v>67</v>
      </c>
      <c r="G23" s="74">
        <f>G22*(1+$C$11)</f>
        <v>1.077</v>
      </c>
      <c r="H23" s="74">
        <f>H22*(1+$C$11)</f>
        <v>0.53849999999999998</v>
      </c>
      <c r="I23" s="74">
        <f>I22*(1+$C$11)</f>
        <v>1.077</v>
      </c>
    </row>
    <row r="24" spans="1:9" ht="17.25" x14ac:dyDescent="0.25">
      <c r="A24" s="7"/>
      <c r="C24" s="7"/>
      <c r="F24" s="4" t="s">
        <v>83</v>
      </c>
      <c r="G24" s="82">
        <f>G23/2.5*1000</f>
        <v>430.79999999999995</v>
      </c>
      <c r="H24" s="82">
        <f t="shared" ref="H24:I24" si="0">H23/2.5*1000</f>
        <v>215.39999999999998</v>
      </c>
      <c r="I24" s="82">
        <f t="shared" si="0"/>
        <v>430.79999999999995</v>
      </c>
    </row>
    <row r="25" spans="1:9" x14ac:dyDescent="0.25">
      <c r="A25" s="7"/>
      <c r="C25" s="7"/>
      <c r="F25" s="9" t="s">
        <v>60</v>
      </c>
      <c r="G25" s="49">
        <f>G23</f>
        <v>1.077</v>
      </c>
      <c r="H25" s="49">
        <f t="shared" ref="H25:I25" si="1">H23</f>
        <v>0.53849999999999998</v>
      </c>
      <c r="I25" s="49">
        <f t="shared" si="1"/>
        <v>1.077</v>
      </c>
    </row>
    <row r="26" spans="1:9" x14ac:dyDescent="0.25">
      <c r="A26" s="7"/>
      <c r="B26" s="7"/>
      <c r="C26" s="7"/>
      <c r="F26" s="11"/>
      <c r="G26" s="49"/>
      <c r="H26" s="49"/>
      <c r="I26" s="49"/>
    </row>
    <row r="27" spans="1:9" x14ac:dyDescent="0.25">
      <c r="A27" s="7"/>
      <c r="F27" s="9" t="s">
        <v>3</v>
      </c>
      <c r="G27" s="49">
        <f>IF(G25-G20&gt;=0,G25-G20,0)</f>
        <v>0.58814587407117713</v>
      </c>
      <c r="H27" s="49">
        <f>IF(H25-H20&gt;=0,H25-H20,0)</f>
        <v>0</v>
      </c>
      <c r="I27" s="49">
        <f>IF(I25-I20&gt;=0,I25-I20,0)</f>
        <v>9.9291748142354197E-2</v>
      </c>
    </row>
    <row r="28" spans="1:9" x14ac:dyDescent="0.25">
      <c r="A28" s="7"/>
      <c r="B28" s="7"/>
      <c r="C28" s="7"/>
      <c r="F28" s="9" t="s">
        <v>4</v>
      </c>
      <c r="G28" s="50">
        <f>IF(G25-G20&lt;0,G25-G20,0)</f>
        <v>0</v>
      </c>
      <c r="H28" s="50">
        <f>IF(H25-H20&lt;0,H25-H20,0)</f>
        <v>-0.43920825185764578</v>
      </c>
      <c r="I28" s="50">
        <f>IF(I25-I20&lt;0,I25-I20,0)</f>
        <v>0</v>
      </c>
    </row>
    <row r="29" spans="1:9" x14ac:dyDescent="0.25">
      <c r="A29" s="7"/>
      <c r="B29" s="7"/>
      <c r="C29" s="7"/>
      <c r="F29" s="9"/>
      <c r="G29" s="72"/>
      <c r="H29" s="72"/>
      <c r="I29" s="72"/>
    </row>
    <row r="30" spans="1:9" ht="16.5" thickBot="1" x14ac:dyDescent="0.3">
      <c r="A30" s="10">
        <v>1</v>
      </c>
      <c r="B30" s="25" t="s">
        <v>7</v>
      </c>
      <c r="C30" s="7"/>
      <c r="D30" s="10" t="s">
        <v>73</v>
      </c>
    </row>
    <row r="31" spans="1:9" x14ac:dyDescent="0.25">
      <c r="C31" s="5"/>
      <c r="D31" s="15"/>
      <c r="E31" s="16"/>
      <c r="F31" s="17" t="s">
        <v>5</v>
      </c>
      <c r="G31" s="18">
        <f t="shared" ref="G31:I32" si="2">$C3*G27*1000/100</f>
        <v>59.408614739929611</v>
      </c>
      <c r="H31" s="18">
        <f t="shared" si="2"/>
        <v>0</v>
      </c>
      <c r="I31" s="19">
        <f t="shared" si="2"/>
        <v>10.029459479859197</v>
      </c>
    </row>
    <row r="32" spans="1:9" x14ac:dyDescent="0.25">
      <c r="C32" s="5"/>
      <c r="D32" s="20"/>
      <c r="E32" s="12"/>
      <c r="F32" s="13" t="s">
        <v>6</v>
      </c>
      <c r="G32" s="14">
        <f t="shared" si="2"/>
        <v>0</v>
      </c>
      <c r="H32" s="14">
        <f t="shared" si="2"/>
        <v>-23.14627487289793</v>
      </c>
      <c r="I32" s="21">
        <f t="shared" si="2"/>
        <v>0</v>
      </c>
    </row>
    <row r="33" spans="1:9" ht="15.75" thickBot="1" x14ac:dyDescent="0.3">
      <c r="C33" s="5"/>
      <c r="D33" s="22"/>
      <c r="E33" s="23"/>
      <c r="F33" s="24" t="s">
        <v>9</v>
      </c>
      <c r="G33" s="99">
        <f>1053.03/$C9</f>
        <v>1.4425068493150686</v>
      </c>
      <c r="H33" s="99">
        <f t="shared" ref="H33:I33" si="3">1053.03/$C9</f>
        <v>1.4425068493150686</v>
      </c>
      <c r="I33" s="100">
        <f t="shared" si="3"/>
        <v>1.4425068493150686</v>
      </c>
    </row>
    <row r="34" spans="1:9" ht="15.75" thickBot="1" x14ac:dyDescent="0.3">
      <c r="F34" s="58" t="s">
        <v>15</v>
      </c>
      <c r="G34" s="59">
        <f>SUM(G31:G33)</f>
        <v>60.851121589244677</v>
      </c>
      <c r="H34" s="59">
        <f>SUM(H31:H33)</f>
        <v>-21.70376802358286</v>
      </c>
      <c r="I34" s="60">
        <f t="shared" ref="I34" si="4">SUM(I31:I33)</f>
        <v>11.471966329174265</v>
      </c>
    </row>
    <row r="35" spans="1:9" x14ac:dyDescent="0.25">
      <c r="C35" s="1"/>
    </row>
    <row r="36" spans="1:9" x14ac:dyDescent="0.25">
      <c r="F36" s="4"/>
    </row>
    <row r="37" spans="1:9" ht="17.25" x14ac:dyDescent="0.25">
      <c r="A37" s="10">
        <v>2</v>
      </c>
      <c r="B37" s="25" t="s">
        <v>8</v>
      </c>
      <c r="F37" s="4" t="s">
        <v>63</v>
      </c>
      <c r="G37" s="84">
        <f>G25</f>
        <v>1.077</v>
      </c>
      <c r="H37" s="84">
        <f>H25</f>
        <v>0.53849999999999998</v>
      </c>
      <c r="I37" s="84">
        <f>I25</f>
        <v>1.077</v>
      </c>
    </row>
    <row r="38" spans="1:9" ht="17.25" x14ac:dyDescent="0.25">
      <c r="E38" s="1" t="s">
        <v>59</v>
      </c>
      <c r="F38" s="4" t="s">
        <v>12</v>
      </c>
      <c r="G38" s="85">
        <v>1</v>
      </c>
      <c r="H38" s="85">
        <v>1</v>
      </c>
      <c r="I38" s="85">
        <v>1</v>
      </c>
    </row>
    <row r="39" spans="1:9" x14ac:dyDescent="0.25">
      <c r="F39" s="4" t="s">
        <v>10</v>
      </c>
      <c r="G39" s="85">
        <f>G37*G38</f>
        <v>1.077</v>
      </c>
      <c r="H39" s="85">
        <f>H37*H38</f>
        <v>0.53849999999999998</v>
      </c>
      <c r="I39" s="85">
        <f t="shared" ref="I39" si="5">I37*I38</f>
        <v>1.077</v>
      </c>
    </row>
    <row r="40" spans="1:9" ht="17.25" x14ac:dyDescent="0.25">
      <c r="F40" s="4" t="s">
        <v>64</v>
      </c>
      <c r="G40" s="85">
        <f>$C$6*G18/(1+$C8)</f>
        <v>0.14166666666666669</v>
      </c>
      <c r="H40" s="85">
        <f t="shared" ref="H40:I40" si="6">$C$6*H18/(1+$C8)</f>
        <v>0.14166666666666669</v>
      </c>
      <c r="I40" s="85">
        <f t="shared" si="6"/>
        <v>0.14166666666666669</v>
      </c>
    </row>
    <row r="41" spans="1:9" x14ac:dyDescent="0.25">
      <c r="F41" s="4" t="s">
        <v>13</v>
      </c>
      <c r="G41" s="85">
        <f>MIN(G39:G40)</f>
        <v>0.14166666666666669</v>
      </c>
      <c r="H41" s="85">
        <f t="shared" ref="H41:I41" si="7">MIN(H39:H40)</f>
        <v>0.14166666666666669</v>
      </c>
      <c r="I41" s="85">
        <f t="shared" si="7"/>
        <v>0.14166666666666669</v>
      </c>
    </row>
    <row r="42" spans="1:9" x14ac:dyDescent="0.25">
      <c r="F42" s="4" t="s">
        <v>71</v>
      </c>
      <c r="G42" s="86">
        <f>G39-G41</f>
        <v>0.93533333333333324</v>
      </c>
      <c r="H42" s="86">
        <f>H39-H41</f>
        <v>0.39683333333333326</v>
      </c>
      <c r="I42" s="86">
        <f t="shared" ref="I42" si="8">I39-I41</f>
        <v>0.93533333333333324</v>
      </c>
    </row>
    <row r="43" spans="1:9" ht="15.75" thickBot="1" x14ac:dyDescent="0.3"/>
    <row r="44" spans="1:9" x14ac:dyDescent="0.25">
      <c r="B44" s="26"/>
      <c r="C44" s="27"/>
      <c r="D44" s="27"/>
      <c r="E44" s="27"/>
      <c r="F44" s="87" t="s">
        <v>14</v>
      </c>
      <c r="G44" s="93">
        <f>G42*1000/730*$C7</f>
        <v>6.8804657534246569</v>
      </c>
      <c r="H44" s="93">
        <f t="shared" ref="H44:I44" si="9">H42*1000/730*$C7</f>
        <v>2.9191712328767121</v>
      </c>
      <c r="I44" s="95">
        <f t="shared" si="9"/>
        <v>6.8804657534246569</v>
      </c>
    </row>
    <row r="45" spans="1:9" ht="15.75" thickBot="1" x14ac:dyDescent="0.3">
      <c r="B45" s="28"/>
      <c r="C45" s="29"/>
      <c r="D45" s="29"/>
      <c r="E45" s="29"/>
      <c r="F45" s="88" t="s">
        <v>58</v>
      </c>
      <c r="G45" s="94">
        <f>1053.03/730</f>
        <v>1.4425068493150686</v>
      </c>
      <c r="H45" s="94">
        <f t="shared" ref="H45:I45" si="10">1053.03/730</f>
        <v>1.4425068493150686</v>
      </c>
      <c r="I45" s="96">
        <f t="shared" si="10"/>
        <v>1.4425068493150686</v>
      </c>
    </row>
    <row r="46" spans="1:9" ht="15.75" thickBot="1" x14ac:dyDescent="0.3">
      <c r="F46" s="63" t="s">
        <v>16</v>
      </c>
      <c r="G46" s="64">
        <f>SUM(G44:G45)</f>
        <v>8.3229726027397248</v>
      </c>
      <c r="H46" s="64">
        <f t="shared" ref="H46:I46" si="11">SUM(H44:H45)</f>
        <v>4.3616780821917809</v>
      </c>
      <c r="I46" s="65">
        <f t="shared" si="11"/>
        <v>8.3229726027397248</v>
      </c>
    </row>
    <row r="49" spans="1:9" ht="18" thickBot="1" x14ac:dyDescent="0.3">
      <c r="A49" s="10">
        <v>3</v>
      </c>
      <c r="B49" s="10" t="s">
        <v>17</v>
      </c>
    </row>
    <row r="50" spans="1:9" ht="15.75" thickBot="1" x14ac:dyDescent="0.3">
      <c r="G50" s="109" t="s">
        <v>69</v>
      </c>
      <c r="H50" s="110"/>
      <c r="I50" s="111"/>
    </row>
    <row r="51" spans="1:9" x14ac:dyDescent="0.25">
      <c r="B51" s="26"/>
      <c r="C51" s="27" t="s">
        <v>18</v>
      </c>
      <c r="D51" s="54" t="s">
        <v>19</v>
      </c>
      <c r="E51" s="27">
        <v>2.5409999999999999</v>
      </c>
      <c r="F51" s="34" t="s">
        <v>20</v>
      </c>
      <c r="G51" s="89">
        <f>G22*1000*$E$51/100</f>
        <v>25.41</v>
      </c>
      <c r="H51" s="89">
        <f t="shared" ref="H51:I51" si="12">H22*1000*$E$51/100</f>
        <v>12.705</v>
      </c>
      <c r="I51" s="89">
        <f t="shared" si="12"/>
        <v>25.41</v>
      </c>
    </row>
    <row r="52" spans="1:9" ht="18" thickBot="1" x14ac:dyDescent="0.3">
      <c r="B52" s="28"/>
      <c r="C52" s="29"/>
      <c r="D52" s="55" t="s">
        <v>87</v>
      </c>
      <c r="E52" s="30">
        <v>10.83</v>
      </c>
      <c r="F52" s="29"/>
      <c r="G52" s="90">
        <f>G24*$E52/$C9</f>
        <v>6.3911835616438344</v>
      </c>
      <c r="H52" s="92">
        <f>H24*$E52/$C9</f>
        <v>3.1955917808219172</v>
      </c>
      <c r="I52" s="91">
        <f>I24*$E52/$C9</f>
        <v>6.3911835616438344</v>
      </c>
    </row>
    <row r="53" spans="1:9" ht="15.75" thickBot="1" x14ac:dyDescent="0.3">
      <c r="B53" s="5"/>
      <c r="C53" s="5"/>
      <c r="D53" s="5"/>
      <c r="E53" s="5"/>
      <c r="F53" s="63" t="s">
        <v>21</v>
      </c>
      <c r="G53" s="64">
        <f>SUM(G51:G52)</f>
        <v>31.801183561643835</v>
      </c>
      <c r="H53" s="64">
        <f>SUM(H51:H52)</f>
        <v>15.900591780821918</v>
      </c>
      <c r="I53" s="65">
        <f>SUM(I51:I52)</f>
        <v>31.801183561643835</v>
      </c>
    </row>
    <row r="56" spans="1:9" ht="18" thickBot="1" x14ac:dyDescent="0.3">
      <c r="A56" s="10">
        <v>4</v>
      </c>
      <c r="B56" s="10" t="s">
        <v>39</v>
      </c>
      <c r="D56" s="5"/>
    </row>
    <row r="57" spans="1:9" ht="15.75" thickBot="1" x14ac:dyDescent="0.3">
      <c r="D57" s="41" t="s">
        <v>24</v>
      </c>
      <c r="E57" s="1" t="s">
        <v>41</v>
      </c>
      <c r="G57" s="106" t="s">
        <v>68</v>
      </c>
      <c r="H57" s="107"/>
      <c r="I57" s="108"/>
    </row>
    <row r="58" spans="1:9" x14ac:dyDescent="0.25">
      <c r="B58" s="66" t="s">
        <v>26</v>
      </c>
      <c r="C58" s="27" t="s">
        <v>23</v>
      </c>
      <c r="D58" s="35">
        <v>353.98</v>
      </c>
      <c r="E58" s="40">
        <f>D58/730</f>
        <v>0.48490410958904112</v>
      </c>
      <c r="F58" s="27"/>
      <c r="G58" s="67">
        <f>$D58*G$23/730</f>
        <v>0.52224172602739727</v>
      </c>
      <c r="H58" s="67">
        <f>$D58*H$23/730</f>
        <v>0.26112086301369863</v>
      </c>
      <c r="I58" s="37">
        <f>$D58*I$23/730</f>
        <v>0.52224172602739727</v>
      </c>
    </row>
    <row r="59" spans="1:9" x14ac:dyDescent="0.25">
      <c r="B59" s="68" t="s">
        <v>27</v>
      </c>
      <c r="C59" s="5" t="s">
        <v>25</v>
      </c>
      <c r="D59" s="33">
        <v>182.76</v>
      </c>
      <c r="E59" s="42">
        <f t="shared" ref="E59:E65" si="13">D59/730</f>
        <v>0.25035616438356162</v>
      </c>
      <c r="F59" s="5"/>
      <c r="G59" s="51">
        <f t="shared" ref="G59:I65" si="14">$D59*G$23/730</f>
        <v>0.26963358904109586</v>
      </c>
      <c r="H59" s="51">
        <f t="shared" si="14"/>
        <v>0.13481679452054793</v>
      </c>
      <c r="I59" s="38">
        <f t="shared" si="14"/>
        <v>0.26963358904109586</v>
      </c>
    </row>
    <row r="60" spans="1:9" x14ac:dyDescent="0.25">
      <c r="B60" s="68" t="s">
        <v>30</v>
      </c>
      <c r="C60" s="5" t="s">
        <v>28</v>
      </c>
      <c r="D60" s="33">
        <v>217.06</v>
      </c>
      <c r="E60" s="42">
        <f t="shared" si="13"/>
        <v>0.29734246575342466</v>
      </c>
      <c r="F60" s="5"/>
      <c r="G60" s="51">
        <f t="shared" si="14"/>
        <v>0.32023783561643837</v>
      </c>
      <c r="H60" s="51">
        <f t="shared" si="14"/>
        <v>0.16011891780821919</v>
      </c>
      <c r="I60" s="38">
        <f t="shared" si="14"/>
        <v>0.32023783561643837</v>
      </c>
    </row>
    <row r="61" spans="1:9" x14ac:dyDescent="0.25">
      <c r="B61" s="68" t="s">
        <v>29</v>
      </c>
      <c r="C61" s="5" t="s">
        <v>28</v>
      </c>
      <c r="D61" s="33">
        <v>776.85</v>
      </c>
      <c r="E61" s="42">
        <f t="shared" si="13"/>
        <v>1.0641780821917808</v>
      </c>
      <c r="F61" s="5"/>
      <c r="G61" s="51">
        <f t="shared" si="14"/>
        <v>1.1461197945205479</v>
      </c>
      <c r="H61" s="51">
        <f t="shared" si="14"/>
        <v>0.57305989726027395</v>
      </c>
      <c r="I61" s="38">
        <f t="shared" si="14"/>
        <v>1.1461197945205479</v>
      </c>
    </row>
    <row r="62" spans="1:9" x14ac:dyDescent="0.25">
      <c r="B62" s="68" t="s">
        <v>32</v>
      </c>
      <c r="C62" s="5" t="s">
        <v>31</v>
      </c>
      <c r="D62" s="33">
        <v>166.58</v>
      </c>
      <c r="E62" s="42">
        <f t="shared" si="13"/>
        <v>0.22819178082191782</v>
      </c>
      <c r="F62" s="5"/>
      <c r="G62" s="51">
        <f t="shared" si="14"/>
        <v>0.2457625479452055</v>
      </c>
      <c r="H62" s="51">
        <f t="shared" si="14"/>
        <v>0.12288127397260275</v>
      </c>
      <c r="I62" s="38">
        <f t="shared" si="14"/>
        <v>0.2457625479452055</v>
      </c>
    </row>
    <row r="63" spans="1:9" x14ac:dyDescent="0.25">
      <c r="B63" s="68" t="s">
        <v>34</v>
      </c>
      <c r="C63" s="5" t="s">
        <v>33</v>
      </c>
      <c r="D63" s="33">
        <v>331.83</v>
      </c>
      <c r="E63" s="42">
        <f t="shared" si="13"/>
        <v>0.45456164383561642</v>
      </c>
      <c r="F63" s="5"/>
      <c r="G63" s="51">
        <f t="shared" si="14"/>
        <v>0.48956289041095885</v>
      </c>
      <c r="H63" s="51">
        <f t="shared" si="14"/>
        <v>0.24478144520547943</v>
      </c>
      <c r="I63" s="38">
        <f t="shared" si="14"/>
        <v>0.48956289041095885</v>
      </c>
    </row>
    <row r="64" spans="1:9" x14ac:dyDescent="0.25">
      <c r="B64" s="68" t="s">
        <v>35</v>
      </c>
      <c r="C64" s="5" t="s">
        <v>33</v>
      </c>
      <c r="D64" s="33">
        <v>281.23</v>
      </c>
      <c r="E64" s="42">
        <f t="shared" si="13"/>
        <v>0.38524657534246576</v>
      </c>
      <c r="F64" s="5"/>
      <c r="G64" s="51">
        <f t="shared" si="14"/>
        <v>0.41491056164383561</v>
      </c>
      <c r="H64" s="51">
        <f t="shared" si="14"/>
        <v>0.2074552808219178</v>
      </c>
      <c r="I64" s="38">
        <f t="shared" si="14"/>
        <v>0.41491056164383561</v>
      </c>
    </row>
    <row r="65" spans="1:11" ht="15.75" thickBot="1" x14ac:dyDescent="0.3">
      <c r="B65" s="69" t="s">
        <v>37</v>
      </c>
      <c r="C65" s="29" t="s">
        <v>36</v>
      </c>
      <c r="D65" s="30">
        <v>4241.21</v>
      </c>
      <c r="E65" s="43">
        <f t="shared" si="13"/>
        <v>5.8098767123287676</v>
      </c>
      <c r="F65" s="29"/>
      <c r="G65" s="52">
        <f t="shared" si="14"/>
        <v>6.2572372191780818</v>
      </c>
      <c r="H65" s="52">
        <f t="shared" si="14"/>
        <v>3.1286186095890409</v>
      </c>
      <c r="I65" s="39">
        <f t="shared" si="14"/>
        <v>6.2572372191780818</v>
      </c>
    </row>
    <row r="66" spans="1:11" ht="15.75" thickBot="1" x14ac:dyDescent="0.3">
      <c r="F66" s="63" t="s">
        <v>38</v>
      </c>
      <c r="G66" s="64">
        <f>SUM(G58:G65)</f>
        <v>9.6657061643835611</v>
      </c>
      <c r="H66" s="64">
        <f t="shared" ref="H66:I66" si="15">SUM(H58:H65)</f>
        <v>4.8328530821917806</v>
      </c>
      <c r="I66" s="65">
        <f t="shared" si="15"/>
        <v>9.6657061643835611</v>
      </c>
    </row>
    <row r="67" spans="1:11" ht="15.75" thickBot="1" x14ac:dyDescent="0.3"/>
    <row r="68" spans="1:11" ht="18" thickBot="1" x14ac:dyDescent="0.3">
      <c r="A68" s="10">
        <v>5</v>
      </c>
      <c r="B68" s="31"/>
      <c r="C68" s="32"/>
      <c r="D68" s="61" t="s">
        <v>80</v>
      </c>
      <c r="E68" s="60"/>
      <c r="F68" s="58"/>
      <c r="G68" s="97">
        <f>G34+G46+G53+G66</f>
        <v>110.64098391801181</v>
      </c>
      <c r="H68" s="97">
        <f>H34+H46+H53+H66</f>
        <v>3.391354921622618</v>
      </c>
      <c r="I68" s="98">
        <f>I34+I46+I53+I66</f>
        <v>61.261828657941393</v>
      </c>
    </row>
    <row r="71" spans="1:11" x14ac:dyDescent="0.25">
      <c r="G71" s="36"/>
      <c r="H71" s="36"/>
      <c r="I71" s="36"/>
    </row>
    <row r="72" spans="1:11" x14ac:dyDescent="0.25">
      <c r="H72" s="9"/>
      <c r="I72" s="62"/>
      <c r="J72" s="62"/>
      <c r="K72" s="62"/>
    </row>
  </sheetData>
  <mergeCells count="4">
    <mergeCell ref="G16:I16"/>
    <mergeCell ref="G15:I15"/>
    <mergeCell ref="G57:I57"/>
    <mergeCell ref="G50:I50"/>
  </mergeCells>
  <pageMargins left="0.7" right="0.7" top="0.75" bottom="0.75" header="0.3" footer="0.3"/>
  <pageSetup paperSize="17" scale="86" fitToHeight="0" orientation="landscape" r:id="rId1"/>
  <rowBreaks count="1" manualBreakCount="1">
    <brk id="47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_ xmlns="f4789d0d-4217-4eb9-9d39-03eb9f0b5d14">31</Status_>
    <Appendix_x0020_name xmlns="f4789d0d-4217-4eb9-9d39-03eb9f0b5d14" xsi:nil="true"/>
    <Appendix_x0020_Number xmlns="f4789d0d-4217-4eb9-9d39-03eb9f0b5d14">013E</Appendix_x0020_Number>
    <Project_x0020_team_x0020_notes xmlns="f4789d0d-4217-4eb9-9d39-03eb9f0b5d14" xsi:nil="true"/>
  </documentManagement>
</p:propertie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81100231FDB34BA2AB55BC62E70A7E" ma:contentTypeVersion="4" ma:contentTypeDescription="Create a new document." ma:contentTypeScope="" ma:versionID="1a933de33fe38952d66aae841af6a6e2">
  <xsd:schema xmlns:xsd="http://www.w3.org/2001/XMLSchema" xmlns:xs="http://www.w3.org/2001/XMLSchema" xmlns:p="http://schemas.microsoft.com/office/2006/metadata/properties" xmlns:ns2="f4789d0d-4217-4eb9-9d39-03eb9f0b5d14" targetNamespace="http://schemas.microsoft.com/office/2006/metadata/properties" ma:root="true" ma:fieldsID="df5989be88242f6cac769ea18d8464e7" ns2:_="">
    <xsd:import namespace="f4789d0d-4217-4eb9-9d39-03eb9f0b5d14"/>
    <xsd:element name="properties">
      <xsd:complexType>
        <xsd:sequence>
          <xsd:element name="documentManagement">
            <xsd:complexType>
              <xsd:all>
                <xsd:element ref="ns2:Status_" minOccurs="0"/>
                <xsd:element ref="ns2:Appendix_x0020_Number" minOccurs="0"/>
                <xsd:element ref="ns2:Appendix_x0020_name" minOccurs="0"/>
                <xsd:element ref="ns2:Project_x0020_team_x0020_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789d0d-4217-4eb9-9d39-03eb9f0b5d14" elementFormDefault="qualified">
    <xsd:import namespace="http://schemas.microsoft.com/office/2006/documentManagement/types"/>
    <xsd:import namespace="http://schemas.microsoft.com/office/infopath/2007/PartnerControls"/>
    <xsd:element name="Status_" ma:index="8" nillable="true" ma:displayName="Status_" ma:list="{b45a5fc1-7f3d-4118-9252-18046df1b90a}" ma:internalName="Status_" ma:showField="LinkTitleNoMenu">
      <xsd:simpleType>
        <xsd:restriction base="dms:Lookup"/>
      </xsd:simpleType>
    </xsd:element>
    <xsd:element name="Appendix_x0020_Number" ma:index="9" nillable="true" ma:displayName="App No." ma:internalName="Appendix_x0020_Number">
      <xsd:simpleType>
        <xsd:restriction base="dms:Text">
          <xsd:maxLength value="8"/>
        </xsd:restriction>
      </xsd:simpleType>
    </xsd:element>
    <xsd:element name="Appendix_x0020_name" ma:index="10" nillable="true" ma:displayName="Appendix name" ma:format="Dropdown" ma:internalName="Appendix_x0020_name">
      <xsd:simpleType>
        <xsd:union memberTypes="dms:Text">
          <xsd:simpleType>
            <xsd:restriction base="dms:Choice">
              <xsd:enumeration value="Terms of Reference"/>
              <xsd:enumeration value="Stakeholder Consultation June 2014"/>
              <xsd:enumeration value="Stakeholder Consultation October 2014"/>
              <xsd:enumeration value="Stakeholder Consultation December 2014"/>
              <xsd:enumeration value="Stakeholder Consultation February 2015"/>
              <xsd:enumeration value="Stakeholder Consultation March 2015"/>
              <xsd:enumeration value="Stakeholder Consultation May 2015"/>
              <xsd:enumeration value="Stakeholder Consultation June 2015"/>
              <xsd:enumeration value="Data Requests"/>
              <xsd:enumeration value="Stakeholder Consultation July 2015"/>
              <xsd:enumeration value="Robert Cary Market Design Report"/>
              <xsd:enumeration value="Proposed LRS T and C and Participation Agreement"/>
              <xsd:enumeration value="Proposed Distribution Tariff"/>
              <xsd:enumeration value="Proposed Energy Balancing Services Tariff"/>
              <xsd:enumeration value="Proposed Standby Serivces Tariff"/>
              <xsd:enumeration value="Proposed RtR Transition Tariff"/>
              <xsd:enumeration value="Proposed Revisions to Market Rules"/>
              <xsd:enumeration value="Proposed Revisions to OATT"/>
              <xsd:enumeration value="Proposed Revisions to Generator Interconnection Procedures"/>
            </xsd:restriction>
          </xsd:simpleType>
        </xsd:union>
      </xsd:simpleType>
    </xsd:element>
    <xsd:element name="Project_x0020_team_x0020_notes" ma:index="11" nillable="true" ma:displayName="Project team notes" ma:internalName="Project_x0020_team_x0020_note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095BD8-C8DF-454D-953E-9436F744B034}"/>
</file>

<file path=customXml/itemProps2.xml><?xml version="1.0" encoding="utf-8"?>
<ds:datastoreItem xmlns:ds="http://schemas.openxmlformats.org/officeDocument/2006/customXml" ds:itemID="{B7EFAC95-C50A-4CBC-AD04-77B888417674}"/>
</file>

<file path=customXml/itemProps3.xml><?xml version="1.0" encoding="utf-8"?>
<ds:datastoreItem xmlns:ds="http://schemas.openxmlformats.org/officeDocument/2006/customXml" ds:itemID="{98686FAA-C51C-42EB-B86C-3855C732B1F8}"/>
</file>

<file path=customXml/itemProps4.xml><?xml version="1.0" encoding="utf-8"?>
<ds:datastoreItem xmlns:ds="http://schemas.openxmlformats.org/officeDocument/2006/customXml" ds:itemID="{FE0AF273-3CAC-4C70-B97E-C51DDE74DD4A}"/>
</file>

<file path=customXml/itemProps5.xml><?xml version="1.0" encoding="utf-8"?>
<ds:datastoreItem xmlns:ds="http://schemas.openxmlformats.org/officeDocument/2006/customXml" ds:itemID="{5EDD801A-1074-4262-AE54-3E0BE4F43E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DR-1</vt:lpstr>
      <vt:lpstr>'DR-1'!Print_Area</vt:lpstr>
      <vt:lpstr>'DR-1'!Print_Titles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Ellis, Bill</dc:creator>
  <cp:lastModifiedBy>MYATT, LANA</cp:lastModifiedBy>
  <cp:lastPrinted>2015-07-06T18:58:31Z</cp:lastPrinted>
  <dcterms:created xsi:type="dcterms:W3CDTF">2015-06-25T14:55:28Z</dcterms:created>
  <dcterms:modified xsi:type="dcterms:W3CDTF">2015-07-06T18:59:21Z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0x0101002281100231FDB34BA2AB55BC62E70A7E</vt:lpwstr>
  </property>
  <property fmtid="{D5CDD505-2E9C-101B-9397-08002B2CF9AE}" pid="3" name="Order">
    <vt:r8>7900</vt:r8>
  </property>
</Properties>
</file>