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720" windowHeight="7245"/>
  </bookViews>
  <sheets>
    <sheet name="DR-2" sheetId="1" r:id="rId1"/>
  </sheets>
  <definedNames>
    <definedName name="_xlnm.Print_Area" localSheetId="0">'DR-2'!$A$1:$K$71</definedName>
    <definedName name="_xlnm.Print_Titles" localSheetId="0">'DR-2'!$1:$13</definedName>
  </definedNames>
  <calcPr calcId="145621"/>
</workbook>
</file>

<file path=xl/calcChain.xml><?xml version="1.0" encoding="utf-8"?>
<calcChain xmlns="http://schemas.openxmlformats.org/spreadsheetml/2006/main">
  <c r="I70" i="1" l="1"/>
  <c r="H70" i="1"/>
  <c r="I61" i="1" l="1"/>
  <c r="I62" i="1"/>
  <c r="I63" i="1"/>
  <c r="I64" i="1"/>
  <c r="I65" i="1"/>
  <c r="I66" i="1"/>
  <c r="I67" i="1"/>
  <c r="I60" i="1"/>
  <c r="I46" i="1"/>
  <c r="H42" i="1"/>
  <c r="I42" i="1"/>
  <c r="G42" i="1"/>
  <c r="H35" i="1"/>
  <c r="I35" i="1"/>
  <c r="G35" i="1"/>
  <c r="C9" i="1"/>
  <c r="I28" i="1"/>
  <c r="I21" i="1" l="1"/>
  <c r="H21" i="1"/>
  <c r="I26" i="1" l="1"/>
  <c r="G21" i="1"/>
  <c r="I27" i="1" l="1"/>
  <c r="I53" i="1"/>
  <c r="I30" i="1" l="1"/>
  <c r="E61" i="1"/>
  <c r="E62" i="1"/>
  <c r="E63" i="1"/>
  <c r="E64" i="1"/>
  <c r="E65" i="1"/>
  <c r="E66" i="1"/>
  <c r="E67" i="1"/>
  <c r="E60" i="1"/>
  <c r="H26" i="1"/>
  <c r="H27" i="1" l="1"/>
  <c r="H53" i="1"/>
  <c r="I68" i="1"/>
  <c r="H39" i="1" l="1"/>
  <c r="H63" i="1"/>
  <c r="H62" i="1"/>
  <c r="H66" i="1"/>
  <c r="H61" i="1"/>
  <c r="H65" i="1"/>
  <c r="H60" i="1"/>
  <c r="H64" i="1"/>
  <c r="H28" i="1"/>
  <c r="H67" i="1"/>
  <c r="H30" i="1"/>
  <c r="I47" i="1"/>
  <c r="H47" i="1"/>
  <c r="G47" i="1"/>
  <c r="H68" i="1" l="1"/>
  <c r="G26" i="1"/>
  <c r="G27" i="1" l="1"/>
  <c r="G53" i="1"/>
  <c r="H41" i="1"/>
  <c r="H43" i="1" s="1"/>
  <c r="H44" i="1" s="1"/>
  <c r="H29" i="1"/>
  <c r="H33" i="1" s="1"/>
  <c r="I39" i="1"/>
  <c r="I41" i="1" s="1"/>
  <c r="I29" i="1"/>
  <c r="I33" i="1" s="1"/>
  <c r="I34" i="1"/>
  <c r="H34" i="1"/>
  <c r="G60" i="1" l="1"/>
  <c r="G28" i="1"/>
  <c r="G62" i="1"/>
  <c r="G66" i="1"/>
  <c r="G61" i="1"/>
  <c r="G63" i="1"/>
  <c r="G65" i="1"/>
  <c r="G67" i="1"/>
  <c r="G64" i="1"/>
  <c r="H48" i="1"/>
  <c r="H46" i="1"/>
  <c r="G29" i="1"/>
  <c r="G30" i="1"/>
  <c r="G34" i="1" s="1"/>
  <c r="I43" i="1"/>
  <c r="I44" i="1" s="1"/>
  <c r="G39" i="1"/>
  <c r="G41" i="1" s="1"/>
  <c r="G43" i="1" s="1"/>
  <c r="I36" i="1"/>
  <c r="H36" i="1"/>
  <c r="G54" i="1" l="1"/>
  <c r="G55" i="1" s="1"/>
  <c r="H54" i="1"/>
  <c r="H55" i="1" s="1"/>
  <c r="I54" i="1"/>
  <c r="I55" i="1" s="1"/>
  <c r="G68" i="1"/>
  <c r="I48" i="1"/>
  <c r="G44" i="1"/>
  <c r="G33" i="1"/>
  <c r="G36" i="1" s="1"/>
  <c r="G70" i="1" s="1"/>
  <c r="G46" i="1" l="1"/>
  <c r="G48" i="1" s="1"/>
</calcChain>
</file>

<file path=xl/sharedStrings.xml><?xml version="1.0" encoding="utf-8"?>
<sst xmlns="http://schemas.openxmlformats.org/spreadsheetml/2006/main" count="97" uniqueCount="91">
  <si>
    <t>Scenario i)</t>
  </si>
  <si>
    <t>Scenario ii)</t>
  </si>
  <si>
    <t>Scenario iii)</t>
  </si>
  <si>
    <t>DR-2 Generator Transmission connected</t>
  </si>
  <si>
    <t>Top Up MWh delivered by NS Power in the hour</t>
  </si>
  <si>
    <t>Spill MWh received by NS Power in the hour</t>
  </si>
  <si>
    <t>Charges for Top Up MWh delivered by NS Power in the hour</t>
  </si>
  <si>
    <t>Credits for Spill MWh received by NS Power in the hour</t>
  </si>
  <si>
    <t>EBS Charges</t>
  </si>
  <si>
    <t>Standby Services Charges</t>
  </si>
  <si>
    <t>LRS Aggregate customer load MWh in the hour</t>
  </si>
  <si>
    <t>EBS Administration Charge applicable to the hour ($1053.03/730 hours)</t>
  </si>
  <si>
    <t>LWPFD</t>
  </si>
  <si>
    <r>
      <t>CMDAF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</si>
  <si>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 (LWPFD,CC*GC/(1+PR)</t>
  </si>
  <si>
    <t>Standby Demand Charge applicable in the hour</t>
  </si>
  <si>
    <t>Standby Services Administration Charge applicable to the hour ($1053.03/730 hours)</t>
  </si>
  <si>
    <t>Total EBS</t>
  </si>
  <si>
    <t>Total SS</t>
  </si>
  <si>
    <r>
      <t>Distribution Tariff Charges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</si>
  <si>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Domestic</t>
  </si>
  <si>
    <t>DT rate</t>
  </si>
  <si>
    <r>
      <rPr>
        <sz val="11"/>
        <color theme="1"/>
        <rFont val="Calibri"/>
        <family val="2"/>
      </rPr>
      <t>¢</t>
    </r>
    <r>
      <rPr>
        <sz val="8.8000000000000007"/>
        <color theme="1"/>
        <rFont val="Calibri"/>
        <family val="2"/>
      </rPr>
      <t>/kWh</t>
    </r>
  </si>
  <si>
    <t>Total DT</t>
  </si>
  <si>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Includes all ancillary services</t>
    </r>
  </si>
  <si>
    <t>Sch 1</t>
  </si>
  <si>
    <t>$/MW/Month</t>
  </si>
  <si>
    <t>Sch 2</t>
  </si>
  <si>
    <t>Scheduling/Sys Control</t>
  </si>
  <si>
    <t>Reactive Supply/Voltage</t>
  </si>
  <si>
    <t>Sch 3</t>
  </si>
  <si>
    <t>Load Following</t>
  </si>
  <si>
    <t>Regulation</t>
  </si>
  <si>
    <t>Sch 5</t>
  </si>
  <si>
    <t>Spinning reserve</t>
  </si>
  <si>
    <t>Sch 6</t>
  </si>
  <si>
    <t>Op reserve 10 min.</t>
  </si>
  <si>
    <t>Op reserve 30 min.</t>
  </si>
  <si>
    <t>Sch 10</t>
  </si>
  <si>
    <t>Total OATT</t>
  </si>
  <si>
    <r>
      <t>Transmission Tariff Charges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</si>
  <si>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$/MW/hr</t>
  </si>
  <si>
    <t>Top Up rate ¢/kWh</t>
  </si>
  <si>
    <t>Value</t>
  </si>
  <si>
    <t>Energy Balancing Service</t>
  </si>
  <si>
    <t>Standby Services Tariff</t>
  </si>
  <si>
    <t>GC = Generator Capacity (MW)</t>
  </si>
  <si>
    <t>PR (Planning Reserve)</t>
  </si>
  <si>
    <t>(NPCC planning criteria)</t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</si>
  <si>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Spill rate ¢/kWh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</si>
  <si>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CC = capacity contribution factor</t>
    </r>
  </si>
  <si>
    <r>
      <rPr>
        <b/>
        <vertAlign val="superscript"/>
        <sz val="11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>Assumes renewable generator is a wind generator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</si>
  <si>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Assumes quantities as metered at the generator output and at the distribution load.</t>
    </r>
  </si>
  <si>
    <t>Note: each scenario considered to occur in a different month</t>
  </si>
  <si>
    <t>Assumptions and Fixed Inputs</t>
  </si>
  <si>
    <t>Assumptions:</t>
  </si>
  <si>
    <t>System Ave. Loss Factor</t>
  </si>
  <si>
    <t>(from Table in SS Tariff)</t>
  </si>
  <si>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Assume Distribution connected load is 100% Domestic class</t>
    </r>
  </si>
  <si>
    <t>(from NS Power OASIS site)</t>
  </si>
  <si>
    <t>Average hours per month</t>
  </si>
  <si>
    <r>
      <t>CMPFD</t>
    </r>
    <r>
      <rPr>
        <b/>
        <vertAlign val="superscript"/>
        <sz val="11"/>
        <color theme="1"/>
        <rFont val="Calibri"/>
        <family val="2"/>
        <scheme val="minor"/>
      </rPr>
      <t>4,9</t>
    </r>
  </si>
  <si>
    <r>
      <t>CC*GC/(1+PR)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</si>
  <si>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Assumes each scenario considered to occur in a different month</t>
    </r>
  </si>
  <si>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>Assumes annual excess spill quantity in the range of 0%-10% of annual LRS load</t>
    </r>
  </si>
  <si>
    <r>
      <t>Generation adjusted for losses to transmission/distribution interface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</si>
  <si>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Metered Customer Load - Distribution Sub. A (MW)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</si>
  <si>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Metered Customer Load - Distribution Sub. B (MW)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</si>
  <si>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Metered Customer Load - Distribution Sub. C (MW)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</si>
  <si>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LRS Aggregate Load adjusted for distribution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</si>
  <si>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Network Transmission service</t>
  </si>
  <si>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Assume load as metered is a peak for the month and occurs in a winter month (Jan/Feb/Dec), CMDAF= 1.0</t>
    </r>
  </si>
  <si>
    <t>Based on LRS aggregate load in each Scenario</t>
  </si>
  <si>
    <t>Based on quantities as metered at the distribution level</t>
  </si>
  <si>
    <t>Distribution Losses</t>
  </si>
  <si>
    <t>MSCD (MW)</t>
  </si>
  <si>
    <t>(from 2014 COSS - domestic dist losses: Feb)</t>
  </si>
  <si>
    <t xml:space="preserve"> Note: EBS hourly Top-up and Spill quantities are determined at the delivery point from the transmission system</t>
  </si>
  <si>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Transmission losses assumed at 2.28% and Dist. losses assumed at 7.7%</t>
    </r>
  </si>
  <si>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Assumes customer load as firm load with peak occurring coincident with system firm load </t>
    </r>
  </si>
  <si>
    <r>
      <t>Hourly Generation Capacity (MW)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</si>
  <si>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15 MW</t>
  </si>
  <si>
    <r>
      <t>Renewable Generator Capacity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</si>
  <si>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>No Embedded Cost Recovery Charges are included in these calculations</t>
    </r>
  </si>
  <si>
    <r>
      <t>Total Tariff Charges for each specific hour under study</t>
    </r>
    <r>
      <rPr>
        <b/>
        <vertAlign val="superscript"/>
        <sz val="11"/>
        <color theme="1"/>
        <rFont val="Calibri"/>
        <family val="2"/>
        <scheme val="minor"/>
      </rPr>
      <t>11</t>
    </r>
  </si>
  <si>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Assumes Generation facility is sized to meet the contracted amount of annual LRS RtR energy, i.e. GC=MSC (Maximum Spill Capacity).</t>
    </r>
  </si>
  <si>
    <t xml:space="preserve">Demand Charge per mo. Per kW </t>
  </si>
  <si>
    <t>=365*24/12</t>
  </si>
  <si>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Average Domestic Customer load is 2.5 kW (Winter example)</t>
    </r>
  </si>
  <si>
    <r>
      <t>Number of Customers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</si>
  <si>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r>
      <t>Fixed Customer Charge/mo./customer</t>
    </r>
    <r>
      <rPr>
        <vertAlign val="superscript"/>
        <sz val="11"/>
        <color theme="1"/>
        <rFont val="Calibri"/>
        <family val="2"/>
        <scheme val="minor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</si>
</sst>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0.0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  <numFmt numFmtId="168" formatCode="_(&quot;$&quot;* #,##0.000000_);_(&quot;$&quot;* \(#,##0.00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.8000000000000007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5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/>
    <xf numFmtId="0" fontId="0" fillId="0" borderId="3" xfId="0" applyBorder="1"/>
    <xf numFmtId="0" fontId="2" fillId="0" borderId="3" xfId="0" applyFont="1" applyFill="1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2" fillId="0" borderId="5" xfId="0" applyFont="1" applyFill="1" applyBorder="1" applyAlignment="1">
      <alignment horizontal="right"/>
    </xf>
    <xf numFmtId="164" fontId="0" fillId="0" borderId="5" xfId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0" fillId="0" borderId="5" xfId="1" applyFont="1" applyBorder="1"/>
    <xf numFmtId="164" fontId="0" fillId="0" borderId="8" xfId="1" applyFont="1" applyBorder="1"/>
    <xf numFmtId="164" fontId="0" fillId="0" borderId="9" xfId="1" applyFont="1" applyBorder="1"/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164" fontId="0" fillId="0" borderId="11" xfId="1" applyFont="1" applyBorder="1"/>
    <xf numFmtId="0" fontId="0" fillId="0" borderId="12" xfId="0" applyBorder="1"/>
    <xf numFmtId="167" fontId="0" fillId="0" borderId="0" xfId="0" applyNumberFormat="1"/>
    <xf numFmtId="164" fontId="0" fillId="0" borderId="0" xfId="1" applyFont="1" applyBorder="1"/>
    <xf numFmtId="0" fontId="3" fillId="0" borderId="2" xfId="0" applyFont="1" applyBorder="1"/>
    <xf numFmtId="164" fontId="0" fillId="0" borderId="2" xfId="1" applyFont="1" applyBorder="1"/>
    <xf numFmtId="166" fontId="0" fillId="0" borderId="0" xfId="0" applyNumberFormat="1"/>
    <xf numFmtId="0" fontId="0" fillId="0" borderId="2" xfId="0" applyBorder="1" applyAlignment="1"/>
    <xf numFmtId="0" fontId="0" fillId="0" borderId="15" xfId="0" applyBorder="1"/>
    <xf numFmtId="0" fontId="0" fillId="0" borderId="0" xfId="0" applyBorder="1" applyAlignment="1"/>
    <xf numFmtId="164" fontId="0" fillId="0" borderId="0" xfId="0" applyNumberFormat="1" applyBorder="1"/>
    <xf numFmtId="0" fontId="0" fillId="0" borderId="11" xfId="0" applyBorder="1" applyAlignment="1"/>
    <xf numFmtId="166" fontId="0" fillId="0" borderId="2" xfId="0" applyNumberFormat="1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166" fontId="0" fillId="0" borderId="11" xfId="0" applyNumberFormat="1" applyBorder="1"/>
    <xf numFmtId="0" fontId="2" fillId="0" borderId="0" xfId="0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8" fillId="0" borderId="0" xfId="0" applyFont="1"/>
    <xf numFmtId="1" fontId="2" fillId="0" borderId="0" xfId="0" applyNumberFormat="1" applyFont="1" applyBorder="1" applyAlignment="1">
      <alignment horizontal="right"/>
    </xf>
    <xf numFmtId="165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6" xfId="0" applyNumberFormat="1" applyBorder="1"/>
    <xf numFmtId="165" fontId="0" fillId="0" borderId="17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7" fontId="0" fillId="0" borderId="21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Border="1"/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right"/>
    </xf>
    <xf numFmtId="164" fontId="2" fillId="0" borderId="13" xfId="0" applyNumberFormat="1" applyFont="1" applyFill="1" applyBorder="1"/>
    <xf numFmtId="164" fontId="2" fillId="0" borderId="14" xfId="0" applyNumberFormat="1" applyFont="1" applyFill="1" applyBorder="1"/>
    <xf numFmtId="0" fontId="2" fillId="0" borderId="13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2" fontId="0" fillId="0" borderId="17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164" fontId="0" fillId="0" borderId="19" xfId="1" applyFont="1" applyFill="1" applyBorder="1"/>
    <xf numFmtId="0" fontId="2" fillId="0" borderId="0" xfId="0" applyFont="1" applyFill="1" applyAlignment="1">
      <alignment horizontal="right"/>
    </xf>
    <xf numFmtId="164" fontId="0" fillId="0" borderId="22" xfId="1" applyFont="1" applyFill="1" applyBorder="1"/>
    <xf numFmtId="0" fontId="2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9" xfId="0" applyFill="1" applyBorder="1"/>
    <xf numFmtId="0" fontId="2" fillId="0" borderId="15" xfId="0" applyFont="1" applyBorder="1" applyAlignment="1">
      <alignment horizontal="right"/>
    </xf>
    <xf numFmtId="0" fontId="0" fillId="0" borderId="30" xfId="0" applyFill="1" applyBorder="1"/>
    <xf numFmtId="0" fontId="0" fillId="0" borderId="0" xfId="0" applyFill="1" applyBorder="1" applyAlignment="1">
      <alignment horizontal="right"/>
    </xf>
    <xf numFmtId="165" fontId="0" fillId="0" borderId="30" xfId="0" applyNumberFormat="1" applyFill="1" applyBorder="1" applyAlignment="1">
      <alignment horizontal="right"/>
    </xf>
    <xf numFmtId="9" fontId="0" fillId="0" borderId="30" xfId="0" applyNumberFormat="1" applyBorder="1"/>
    <xf numFmtId="0" fontId="0" fillId="0" borderId="30" xfId="0" applyBorder="1"/>
    <xf numFmtId="0" fontId="2" fillId="0" borderId="15" xfId="0" applyFont="1" applyFill="1" applyBorder="1" applyAlignment="1">
      <alignment horizontal="right"/>
    </xf>
    <xf numFmtId="10" fontId="0" fillId="0" borderId="30" xfId="0" applyNumberFormat="1" applyFill="1" applyBorder="1"/>
    <xf numFmtId="0" fontId="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10" fontId="0" fillId="0" borderId="31" xfId="0" applyNumberFormat="1" applyFill="1" applyBorder="1"/>
    <xf numFmtId="0" fontId="0" fillId="0" borderId="0" xfId="0" quotePrefix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right"/>
    </xf>
    <xf numFmtId="164" fontId="0" fillId="0" borderId="8" xfId="1" applyNumberFormat="1" applyFont="1" applyBorder="1" applyAlignment="1">
      <alignment horizontal="right"/>
    </xf>
    <xf numFmtId="164" fontId="0" fillId="0" borderId="30" xfId="1" applyFont="1" applyFill="1" applyBorder="1"/>
    <xf numFmtId="164" fontId="2" fillId="0" borderId="11" xfId="0" applyNumberFormat="1" applyFont="1" applyFill="1" applyBorder="1"/>
    <xf numFmtId="164" fontId="2" fillId="0" borderId="31" xfId="0" applyNumberFormat="1" applyFont="1" applyFill="1" applyBorder="1"/>
    <xf numFmtId="164" fontId="0" fillId="0" borderId="32" xfId="0" applyNumberFormat="1" applyBorder="1"/>
    <xf numFmtId="164" fontId="0" fillId="0" borderId="17" xfId="0" applyNumberFormat="1" applyBorder="1"/>
    <xf numFmtId="164" fontId="0" fillId="0" borderId="27" xfId="0" applyNumberFormat="1" applyBorder="1"/>
    <xf numFmtId="167" fontId="0" fillId="0" borderId="24" xfId="0" applyNumberFormat="1" applyBorder="1"/>
    <xf numFmtId="164" fontId="0" fillId="0" borderId="33" xfId="1" applyFont="1" applyBorder="1"/>
    <xf numFmtId="164" fontId="0" fillId="0" borderId="33" xfId="1" applyFont="1" applyBorder="1" applyAlignment="1">
      <alignment horizontal="right"/>
    </xf>
    <xf numFmtId="164" fontId="0" fillId="0" borderId="34" xfId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8" fontId="0" fillId="0" borderId="0" xfId="0" applyNumberForma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topLeftCell="B1" zoomScale="85" zoomScaleNormal="85" workbookViewId="0">
      <selection activeCell="J54" sqref="J54"/>
    </sheetView>
  </sheetViews>
  <sheetFormatPr defaultRowHeight="15" x14ac:dyDescent="0.25"/>
  <cols>
    <col min="1" max="1" width="45.5703125" customWidth="1"/>
    <col min="2" max="2" width="42.85546875" customWidth="1"/>
    <col min="3" max="3" width="22.42578125" customWidth="1"/>
    <col min="4" max="5" width="15.7109375" customWidth="1"/>
    <col min="6" max="6" width="24.7109375" customWidth="1"/>
    <col min="7" max="8" width="19.7109375" customWidth="1"/>
    <col min="9" max="9" width="15" customWidth="1"/>
    <col min="10" max="12" width="17.85546875" customWidth="1"/>
  </cols>
  <sheetData>
    <row r="1" spans="1:10" ht="21" x14ac:dyDescent="0.35">
      <c r="A1" s="69" t="s">
        <v>3</v>
      </c>
      <c r="B1" s="69"/>
      <c r="C1" s="70"/>
      <c r="E1" s="49" t="s">
        <v>55</v>
      </c>
    </row>
    <row r="2" spans="1:10" ht="18" thickBot="1" x14ac:dyDescent="0.3">
      <c r="A2" s="49" t="s">
        <v>54</v>
      </c>
      <c r="C2" s="71" t="s">
        <v>43</v>
      </c>
      <c r="E2" s="47" t="s">
        <v>63</v>
      </c>
    </row>
    <row r="3" spans="1:10" ht="17.25" x14ac:dyDescent="0.25">
      <c r="A3" s="86" t="s">
        <v>44</v>
      </c>
      <c r="B3" s="87" t="s">
        <v>42</v>
      </c>
      <c r="C3" s="88">
        <v>10.101000000000001</v>
      </c>
      <c r="E3" s="80" t="s">
        <v>78</v>
      </c>
    </row>
    <row r="4" spans="1:10" ht="17.25" x14ac:dyDescent="0.25">
      <c r="A4" s="89" t="s">
        <v>44</v>
      </c>
      <c r="B4" s="44" t="s">
        <v>49</v>
      </c>
      <c r="C4" s="90">
        <v>5.27</v>
      </c>
      <c r="E4" s="47" t="s">
        <v>52</v>
      </c>
      <c r="F4" s="72"/>
      <c r="G4" s="72"/>
      <c r="H4" s="72"/>
    </row>
    <row r="5" spans="1:10" ht="17.25" x14ac:dyDescent="0.25">
      <c r="A5" s="89" t="s">
        <v>45</v>
      </c>
      <c r="B5" s="91" t="s">
        <v>46</v>
      </c>
      <c r="C5" s="92" t="s">
        <v>81</v>
      </c>
      <c r="E5" s="48" t="s">
        <v>71</v>
      </c>
    </row>
    <row r="6" spans="1:10" ht="17.25" x14ac:dyDescent="0.25">
      <c r="A6" s="89" t="s">
        <v>45</v>
      </c>
      <c r="B6" s="44" t="s">
        <v>50</v>
      </c>
      <c r="C6" s="90">
        <v>0.17</v>
      </c>
      <c r="E6" s="48" t="s">
        <v>58</v>
      </c>
    </row>
    <row r="7" spans="1:10" ht="17.25" x14ac:dyDescent="0.25">
      <c r="A7" s="89" t="s">
        <v>45</v>
      </c>
      <c r="B7" s="91" t="s">
        <v>86</v>
      </c>
      <c r="C7" s="105">
        <v>5.37</v>
      </c>
      <c r="E7" s="48" t="s">
        <v>24</v>
      </c>
    </row>
    <row r="8" spans="1:10" ht="17.25" x14ac:dyDescent="0.25">
      <c r="A8" s="89" t="s">
        <v>47</v>
      </c>
      <c r="B8" s="44" t="s">
        <v>48</v>
      </c>
      <c r="C8" s="93">
        <v>0.2</v>
      </c>
      <c r="D8" s="4"/>
      <c r="E8" s="10" t="s">
        <v>64</v>
      </c>
    </row>
    <row r="9" spans="1:10" ht="17.25" x14ac:dyDescent="0.25">
      <c r="A9" s="89" t="s">
        <v>60</v>
      </c>
      <c r="B9" s="100" t="s">
        <v>87</v>
      </c>
      <c r="C9" s="94">
        <f>365*24/12</f>
        <v>730</v>
      </c>
      <c r="E9" s="8" t="s">
        <v>51</v>
      </c>
    </row>
    <row r="10" spans="1:10" ht="17.25" x14ac:dyDescent="0.25">
      <c r="A10" s="95" t="s">
        <v>56</v>
      </c>
      <c r="B10" s="73" t="s">
        <v>59</v>
      </c>
      <c r="C10" s="96">
        <v>2.2800000000000001E-2</v>
      </c>
      <c r="E10" s="75" t="s">
        <v>79</v>
      </c>
    </row>
    <row r="11" spans="1:10" ht="18" thickBot="1" x14ac:dyDescent="0.3">
      <c r="A11" s="97" t="s">
        <v>74</v>
      </c>
      <c r="B11" s="98" t="s">
        <v>76</v>
      </c>
      <c r="C11" s="99">
        <v>7.6999999999999999E-2</v>
      </c>
      <c r="E11" s="75" t="s">
        <v>85</v>
      </c>
    </row>
    <row r="12" spans="1:10" ht="17.25" x14ac:dyDescent="0.25">
      <c r="A12" s="47"/>
      <c r="E12" s="75" t="s">
        <v>83</v>
      </c>
    </row>
    <row r="13" spans="1:10" ht="17.25" x14ac:dyDescent="0.25">
      <c r="A13" s="48"/>
      <c r="C13" s="6"/>
      <c r="E13" s="75" t="s">
        <v>88</v>
      </c>
      <c r="F13" s="72"/>
      <c r="G13" s="72"/>
      <c r="H13" s="72"/>
      <c r="I13" s="72"/>
      <c r="J13" s="72"/>
    </row>
    <row r="15" spans="1:10" ht="15.75" thickBot="1" x14ac:dyDescent="0.3">
      <c r="E15" s="75"/>
    </row>
    <row r="16" spans="1:10" ht="15.75" thickBot="1" x14ac:dyDescent="0.3">
      <c r="G16" s="117" t="s">
        <v>3</v>
      </c>
      <c r="H16" s="118"/>
      <c r="I16" s="119"/>
    </row>
    <row r="17" spans="1:9" ht="15.75" thickBot="1" x14ac:dyDescent="0.3">
      <c r="A17" s="120"/>
      <c r="B17" s="120"/>
      <c r="C17" s="120"/>
      <c r="G17" s="117" t="s">
        <v>53</v>
      </c>
      <c r="H17" s="118"/>
      <c r="I17" s="119"/>
    </row>
    <row r="18" spans="1:9" x14ac:dyDescent="0.25">
      <c r="A18" s="5"/>
      <c r="B18" s="5"/>
      <c r="C18" s="5"/>
      <c r="G18" s="53" t="s">
        <v>0</v>
      </c>
      <c r="H18" s="53" t="s">
        <v>1</v>
      </c>
      <c r="I18" s="53" t="s">
        <v>2</v>
      </c>
    </row>
    <row r="19" spans="1:9" ht="17.25" x14ac:dyDescent="0.25">
      <c r="A19" s="2"/>
      <c r="B19" s="2"/>
      <c r="C19" s="2"/>
      <c r="E19" s="72"/>
      <c r="F19" s="84" t="s">
        <v>82</v>
      </c>
      <c r="G19" s="82">
        <v>15</v>
      </c>
      <c r="H19" s="82">
        <v>15</v>
      </c>
      <c r="I19" s="82">
        <v>15</v>
      </c>
    </row>
    <row r="20" spans="1:9" ht="17.25" x14ac:dyDescent="0.25">
      <c r="A20" s="2"/>
      <c r="B20" s="2"/>
      <c r="C20" s="2"/>
      <c r="F20" s="3" t="s">
        <v>80</v>
      </c>
      <c r="G20" s="51">
        <v>15</v>
      </c>
      <c r="H20" s="51">
        <v>10</v>
      </c>
      <c r="I20" s="51">
        <v>15</v>
      </c>
    </row>
    <row r="21" spans="1:9" ht="17.25" x14ac:dyDescent="0.25">
      <c r="F21" s="74" t="s">
        <v>65</v>
      </c>
      <c r="G21" s="52">
        <f>G20/(1+$C$10)</f>
        <v>14.665623777864687</v>
      </c>
      <c r="H21" s="81">
        <f>H20/(1+$C$10)</f>
        <v>9.7770825185764583</v>
      </c>
      <c r="I21" s="81">
        <f>I20/(1+$C$10)</f>
        <v>14.665623777864687</v>
      </c>
    </row>
    <row r="22" spans="1:9" ht="17.25" x14ac:dyDescent="0.25">
      <c r="A22" s="8"/>
      <c r="C22" s="8"/>
      <c r="F22" s="3" t="s">
        <v>66</v>
      </c>
      <c r="G22" s="51">
        <v>5</v>
      </c>
      <c r="H22" s="51">
        <v>1</v>
      </c>
      <c r="I22" s="51">
        <v>1</v>
      </c>
    </row>
    <row r="23" spans="1:9" ht="17.25" x14ac:dyDescent="0.25">
      <c r="A23" s="2"/>
      <c r="C23" s="2"/>
      <c r="F23" s="3" t="s">
        <v>67</v>
      </c>
      <c r="G23" s="51">
        <v>5</v>
      </c>
      <c r="H23" s="51">
        <v>5</v>
      </c>
      <c r="I23" s="51">
        <v>5</v>
      </c>
    </row>
    <row r="24" spans="1:9" ht="17.25" x14ac:dyDescent="0.25">
      <c r="A24" s="7"/>
      <c r="C24" s="7"/>
      <c r="F24" s="3" t="s">
        <v>68</v>
      </c>
      <c r="G24" s="51">
        <v>5</v>
      </c>
      <c r="H24" s="51">
        <v>5</v>
      </c>
      <c r="I24" s="51">
        <v>1</v>
      </c>
    </row>
    <row r="25" spans="1:9" x14ac:dyDescent="0.25">
      <c r="A25" s="7"/>
      <c r="C25" s="7"/>
      <c r="F25" s="3"/>
      <c r="G25" s="51"/>
      <c r="H25" s="51"/>
      <c r="I25" s="51"/>
    </row>
    <row r="26" spans="1:9" x14ac:dyDescent="0.25">
      <c r="A26" s="7"/>
      <c r="C26" s="7"/>
      <c r="F26" s="9" t="s">
        <v>10</v>
      </c>
      <c r="G26" s="51">
        <f>G22+G23+G24</f>
        <v>15</v>
      </c>
      <c r="H26" s="51">
        <f>H22+H23+H24</f>
        <v>11</v>
      </c>
      <c r="I26" s="51">
        <f>I22+I23+I24</f>
        <v>7</v>
      </c>
    </row>
    <row r="27" spans="1:9" ht="17.25" x14ac:dyDescent="0.25">
      <c r="A27" s="7"/>
      <c r="C27" s="7"/>
      <c r="F27" s="74" t="s">
        <v>69</v>
      </c>
      <c r="G27" s="81">
        <f>G26*(1+$C$11)</f>
        <v>16.155000000000001</v>
      </c>
      <c r="H27" s="81">
        <f>H26*(1+$C$11)</f>
        <v>11.847</v>
      </c>
      <c r="I27" s="81">
        <f>I26*(1+$C$11)</f>
        <v>7.5389999999999997</v>
      </c>
    </row>
    <row r="28" spans="1:9" ht="17.25" x14ac:dyDescent="0.25">
      <c r="A28" s="7"/>
      <c r="B28" s="7"/>
      <c r="C28" s="7"/>
      <c r="F28" s="3" t="s">
        <v>89</v>
      </c>
      <c r="G28" s="101">
        <f>G27/2.5*1000</f>
        <v>6462.0000000000009</v>
      </c>
      <c r="H28" s="101">
        <f t="shared" ref="H28:I28" si="0">H27/2.5*1000</f>
        <v>4738.7999999999993</v>
      </c>
      <c r="I28" s="101">
        <f t="shared" si="0"/>
        <v>3015.6</v>
      </c>
    </row>
    <row r="29" spans="1:9" x14ac:dyDescent="0.25">
      <c r="F29" s="9" t="s">
        <v>4</v>
      </c>
      <c r="G29" s="52">
        <f>IF(G27-G21&gt;=0,G27-G21,0)</f>
        <v>1.4893762221353146</v>
      </c>
      <c r="H29" s="52">
        <f t="shared" ref="H29:I29" si="1">IF(H27-H21&gt;=0,H27-H21,0)</f>
        <v>2.0699174814235413</v>
      </c>
      <c r="I29" s="52">
        <f t="shared" si="1"/>
        <v>0</v>
      </c>
    </row>
    <row r="30" spans="1:9" x14ac:dyDescent="0.25">
      <c r="A30" s="7"/>
      <c r="B30" s="7"/>
      <c r="C30" s="7"/>
      <c r="F30" s="9" t="s">
        <v>5</v>
      </c>
      <c r="G30" s="102">
        <f>IF(G27-G21&lt;0,G27-G21,0)</f>
        <v>0</v>
      </c>
      <c r="H30" s="102">
        <f>IF(H27-H21&lt;0,H27-H21,0)</f>
        <v>0</v>
      </c>
      <c r="I30" s="102">
        <f>IF(I27-I21&lt;0,I27-I21,0)</f>
        <v>-7.1266237778646868</v>
      </c>
    </row>
    <row r="31" spans="1:9" x14ac:dyDescent="0.25">
      <c r="A31" s="7"/>
      <c r="C31" s="7"/>
      <c r="F31" s="9"/>
      <c r="G31" s="2"/>
      <c r="H31" s="7"/>
      <c r="I31" s="7"/>
    </row>
    <row r="32" spans="1:9" ht="16.5" thickBot="1" x14ac:dyDescent="0.3">
      <c r="A32" s="50">
        <v>1</v>
      </c>
      <c r="B32" s="26" t="s">
        <v>8</v>
      </c>
      <c r="C32" s="75" t="s">
        <v>77</v>
      </c>
    </row>
    <row r="33" spans="1:9" x14ac:dyDescent="0.25">
      <c r="C33" s="14"/>
      <c r="D33" s="15"/>
      <c r="E33" s="15"/>
      <c r="F33" s="16" t="s">
        <v>6</v>
      </c>
      <c r="G33" s="17">
        <f>$C3*G29*1000/100</f>
        <v>150.44189219788814</v>
      </c>
      <c r="H33" s="17">
        <f>$C3*H29*1000/100</f>
        <v>209.08236479859193</v>
      </c>
      <c r="I33" s="113">
        <f t="shared" ref="I33" si="2">$C3*I29*1000/100</f>
        <v>0</v>
      </c>
    </row>
    <row r="34" spans="1:9" x14ac:dyDescent="0.25">
      <c r="C34" s="18"/>
      <c r="D34" s="11"/>
      <c r="E34" s="11"/>
      <c r="F34" s="12" t="s">
        <v>7</v>
      </c>
      <c r="G34" s="13">
        <f>$C4*G30*1000/100</f>
        <v>0</v>
      </c>
      <c r="H34" s="13">
        <f t="shared" ref="H34:I34" si="3">$C4*H30*1000/100</f>
        <v>0</v>
      </c>
      <c r="I34" s="114">
        <f t="shared" si="3"/>
        <v>-375.57307309346902</v>
      </c>
    </row>
    <row r="35" spans="1:9" ht="15.75" thickBot="1" x14ac:dyDescent="0.3">
      <c r="C35" s="19"/>
      <c r="D35" s="20"/>
      <c r="E35" s="20"/>
      <c r="F35" s="21" t="s">
        <v>11</v>
      </c>
      <c r="G35" s="104">
        <f>1053.03/$C9</f>
        <v>1.4425068493150686</v>
      </c>
      <c r="H35" s="104">
        <f t="shared" ref="H35:I35" si="4">1053.03/$C9</f>
        <v>1.4425068493150686</v>
      </c>
      <c r="I35" s="115">
        <f t="shared" si="4"/>
        <v>1.4425068493150686</v>
      </c>
    </row>
    <row r="36" spans="1:9" ht="15.75" thickBot="1" x14ac:dyDescent="0.3">
      <c r="F36" s="76" t="s">
        <v>17</v>
      </c>
      <c r="G36" s="77">
        <f>SUM(G33:G35)</f>
        <v>151.8843990472032</v>
      </c>
      <c r="H36" s="77">
        <f t="shared" ref="H36:I36" si="5">SUM(H33:H35)</f>
        <v>210.52487164790699</v>
      </c>
      <c r="I36" s="78">
        <f t="shared" si="5"/>
        <v>-374.13056624415395</v>
      </c>
    </row>
    <row r="37" spans="1:9" x14ac:dyDescent="0.25">
      <c r="C37" s="1"/>
    </row>
    <row r="38" spans="1:9" x14ac:dyDescent="0.25">
      <c r="F38" s="3"/>
    </row>
    <row r="39" spans="1:9" ht="17.25" x14ac:dyDescent="0.25">
      <c r="A39" s="10">
        <v>2</v>
      </c>
      <c r="B39" s="26" t="s">
        <v>9</v>
      </c>
      <c r="F39" s="3" t="s">
        <v>61</v>
      </c>
      <c r="G39" s="54">
        <f>G27</f>
        <v>16.155000000000001</v>
      </c>
      <c r="H39" s="54">
        <f>H27</f>
        <v>11.847</v>
      </c>
      <c r="I39" s="54">
        <f>I27</f>
        <v>7.5389999999999997</v>
      </c>
    </row>
    <row r="40" spans="1:9" ht="17.25" x14ac:dyDescent="0.25">
      <c r="E40" s="1" t="s">
        <v>57</v>
      </c>
      <c r="F40" s="3" t="s">
        <v>13</v>
      </c>
      <c r="G40" s="55">
        <v>1</v>
      </c>
      <c r="H40" s="55">
        <v>1</v>
      </c>
      <c r="I40" s="55">
        <v>1</v>
      </c>
    </row>
    <row r="41" spans="1:9" x14ac:dyDescent="0.25">
      <c r="F41" s="3" t="s">
        <v>12</v>
      </c>
      <c r="G41" s="56">
        <f>G39*G40</f>
        <v>16.155000000000001</v>
      </c>
      <c r="H41" s="56">
        <f t="shared" ref="H41:I41" si="6">H39*H40</f>
        <v>11.847</v>
      </c>
      <c r="I41" s="56">
        <f t="shared" si="6"/>
        <v>7.5389999999999997</v>
      </c>
    </row>
    <row r="42" spans="1:9" ht="17.25" x14ac:dyDescent="0.25">
      <c r="F42" s="3" t="s">
        <v>62</v>
      </c>
      <c r="G42" s="56">
        <f>$C6*G19/(1+$C8)</f>
        <v>2.1250000000000004</v>
      </c>
      <c r="H42" s="56">
        <f t="shared" ref="H42:I42" si="7">$C6*H19/(1+$C8)</f>
        <v>2.1250000000000004</v>
      </c>
      <c r="I42" s="56">
        <f t="shared" si="7"/>
        <v>2.1250000000000004</v>
      </c>
    </row>
    <row r="43" spans="1:9" x14ac:dyDescent="0.25">
      <c r="F43" s="3" t="s">
        <v>14</v>
      </c>
      <c r="G43" s="56">
        <f>MIN(G41:G42)</f>
        <v>2.1250000000000004</v>
      </c>
      <c r="H43" s="56">
        <f t="shared" ref="H43:I43" si="8">MIN(H41:H42)</f>
        <v>2.1250000000000004</v>
      </c>
      <c r="I43" s="56">
        <f t="shared" si="8"/>
        <v>2.1250000000000004</v>
      </c>
    </row>
    <row r="44" spans="1:9" x14ac:dyDescent="0.25">
      <c r="F44" s="3" t="s">
        <v>75</v>
      </c>
      <c r="G44" s="57">
        <f>G41-G43</f>
        <v>14.030000000000001</v>
      </c>
      <c r="H44" s="57">
        <f t="shared" ref="H44" si="9">H41-H43</f>
        <v>9.7219999999999995</v>
      </c>
      <c r="I44" s="57">
        <f>I41-I43</f>
        <v>5.4139999999999997</v>
      </c>
    </row>
    <row r="45" spans="1:9" ht="15.75" thickBot="1" x14ac:dyDescent="0.3"/>
    <row r="46" spans="1:9" x14ac:dyDescent="0.25">
      <c r="C46" s="65"/>
      <c r="D46" s="68"/>
      <c r="E46" s="66"/>
      <c r="F46" s="22" t="s">
        <v>15</v>
      </c>
      <c r="G46" s="23">
        <f>G44*1000*$C7/$C9</f>
        <v>103.20698630136987</v>
      </c>
      <c r="H46" s="23">
        <f t="shared" ref="H46:I46" si="10">H44*1000*$C7/$C9</f>
        <v>71.516630136986294</v>
      </c>
      <c r="I46" s="112">
        <f t="shared" si="10"/>
        <v>39.826273972602742</v>
      </c>
    </row>
    <row r="47" spans="1:9" ht="15.75" thickBot="1" x14ac:dyDescent="0.3">
      <c r="C47" s="19"/>
      <c r="D47" s="67"/>
      <c r="E47" s="20"/>
      <c r="F47" s="21" t="s">
        <v>16</v>
      </c>
      <c r="G47" s="24">
        <f>1053.03/730</f>
        <v>1.4425068493150686</v>
      </c>
      <c r="H47" s="24">
        <f t="shared" ref="H47:I47" si="11">1053.03/730</f>
        <v>1.4425068493150686</v>
      </c>
      <c r="I47" s="25">
        <f t="shared" si="11"/>
        <v>1.4425068493150686</v>
      </c>
    </row>
    <row r="48" spans="1:9" ht="15.75" thickBot="1" x14ac:dyDescent="0.3">
      <c r="F48" s="76" t="s">
        <v>18</v>
      </c>
      <c r="G48" s="77">
        <f>SUM(G46:G47)</f>
        <v>104.64949315068493</v>
      </c>
      <c r="H48" s="77">
        <f t="shared" ref="H48:I48" si="12">SUM(H46:H47)</f>
        <v>72.95913698630136</v>
      </c>
      <c r="I48" s="78">
        <f t="shared" si="12"/>
        <v>41.268780821917808</v>
      </c>
    </row>
    <row r="51" spans="1:9" ht="18" thickBot="1" x14ac:dyDescent="0.3">
      <c r="A51" s="10">
        <v>3</v>
      </c>
      <c r="B51" s="10" t="s">
        <v>19</v>
      </c>
    </row>
    <row r="52" spans="1:9" ht="15.75" thickBot="1" x14ac:dyDescent="0.3">
      <c r="G52" s="124" t="s">
        <v>73</v>
      </c>
      <c r="H52" s="125"/>
      <c r="I52" s="126"/>
    </row>
    <row r="53" spans="1:9" x14ac:dyDescent="0.25">
      <c r="B53" s="27" t="s">
        <v>20</v>
      </c>
      <c r="C53" s="28" t="s">
        <v>21</v>
      </c>
      <c r="D53" s="28">
        <v>2.5409999999999999</v>
      </c>
      <c r="E53" s="35" t="s">
        <v>22</v>
      </c>
      <c r="F53" s="28"/>
      <c r="G53" s="83">
        <f>G26*1000*$D$53/100</f>
        <v>381.15</v>
      </c>
      <c r="H53" s="83">
        <f>H26*1000*$D$53/100</f>
        <v>279.51</v>
      </c>
      <c r="I53" s="85">
        <f>I26*1000*$D$53/100</f>
        <v>177.87</v>
      </c>
    </row>
    <row r="54" spans="1:9" ht="18" thickBot="1" x14ac:dyDescent="0.3">
      <c r="B54" s="29"/>
      <c r="C54" s="103" t="s">
        <v>90</v>
      </c>
      <c r="D54" s="31">
        <v>10.83</v>
      </c>
      <c r="E54" s="30"/>
      <c r="F54" s="30"/>
      <c r="G54" s="64">
        <f>$D$54/730*$G28</f>
        <v>95.86775342465755</v>
      </c>
      <c r="H54" s="64">
        <f t="shared" ref="H54:I54" si="13">$D$54/730*$G28</f>
        <v>95.86775342465755</v>
      </c>
      <c r="I54" s="111">
        <f t="shared" si="13"/>
        <v>95.86775342465755</v>
      </c>
    </row>
    <row r="55" spans="1:9" ht="15.75" thickBot="1" x14ac:dyDescent="0.3">
      <c r="B55" s="4"/>
      <c r="C55" s="4"/>
      <c r="D55" s="4"/>
      <c r="E55" s="4"/>
      <c r="F55" s="76" t="s">
        <v>23</v>
      </c>
      <c r="G55" s="77">
        <f>SUM(G53:G54)</f>
        <v>477.01775342465754</v>
      </c>
      <c r="H55" s="77">
        <f>SUM(H53:H54)</f>
        <v>375.37775342465756</v>
      </c>
      <c r="I55" s="78">
        <f>SUM(I53:I54)</f>
        <v>273.73775342465757</v>
      </c>
    </row>
    <row r="58" spans="1:9" ht="18" thickBot="1" x14ac:dyDescent="0.3">
      <c r="A58" s="10">
        <v>4</v>
      </c>
      <c r="B58" s="10" t="s">
        <v>40</v>
      </c>
      <c r="D58" s="4"/>
    </row>
    <row r="59" spans="1:9" ht="15.75" thickBot="1" x14ac:dyDescent="0.3">
      <c r="D59" s="44" t="s">
        <v>26</v>
      </c>
      <c r="E59" s="1" t="s">
        <v>41</v>
      </c>
      <c r="G59" s="121" t="s">
        <v>72</v>
      </c>
      <c r="H59" s="122"/>
      <c r="I59" s="123"/>
    </row>
    <row r="60" spans="1:9" x14ac:dyDescent="0.25">
      <c r="B60" s="27" t="s">
        <v>28</v>
      </c>
      <c r="C60" s="38" t="s">
        <v>25</v>
      </c>
      <c r="D60" s="36">
        <v>353.98</v>
      </c>
      <c r="E60" s="43">
        <f>D60/730</f>
        <v>0.48490410958904112</v>
      </c>
      <c r="F60" s="43"/>
      <c r="G60" s="58">
        <f>$D60*G$27/$C$9</f>
        <v>7.8336258904109597</v>
      </c>
      <c r="H60" s="108">
        <f t="shared" ref="H60:I67" si="14">$D60*H$27/$C$9</f>
        <v>5.7446589863013697</v>
      </c>
      <c r="I60" s="61">
        <f t="shared" si="14"/>
        <v>3.6556920821917811</v>
      </c>
    </row>
    <row r="61" spans="1:9" x14ac:dyDescent="0.25">
      <c r="B61" s="39" t="s">
        <v>29</v>
      </c>
      <c r="C61" s="40" t="s">
        <v>27</v>
      </c>
      <c r="D61" s="34">
        <v>182.76</v>
      </c>
      <c r="E61" s="45">
        <f t="shared" ref="E61:E67" si="15">D61/730</f>
        <v>0.25035616438356162</v>
      </c>
      <c r="F61" s="41"/>
      <c r="G61" s="59">
        <f t="shared" ref="G61:G67" si="16">$D61*G$27/$C$9</f>
        <v>4.044503835616438</v>
      </c>
      <c r="H61" s="109">
        <f t="shared" si="14"/>
        <v>2.9659694794520544</v>
      </c>
      <c r="I61" s="62">
        <f t="shared" si="14"/>
        <v>1.8874351232876712</v>
      </c>
    </row>
    <row r="62" spans="1:9" x14ac:dyDescent="0.25">
      <c r="B62" s="39" t="s">
        <v>32</v>
      </c>
      <c r="C62" s="40" t="s">
        <v>30</v>
      </c>
      <c r="D62" s="34">
        <v>217.06</v>
      </c>
      <c r="E62" s="45">
        <f t="shared" si="15"/>
        <v>0.29734246575342466</v>
      </c>
      <c r="F62" s="4"/>
      <c r="G62" s="59">
        <f t="shared" si="16"/>
        <v>4.803567534246576</v>
      </c>
      <c r="H62" s="109">
        <f t="shared" si="14"/>
        <v>3.5226161917808216</v>
      </c>
      <c r="I62" s="62">
        <f t="shared" si="14"/>
        <v>2.2416648493150686</v>
      </c>
    </row>
    <row r="63" spans="1:9" x14ac:dyDescent="0.25">
      <c r="B63" s="39" t="s">
        <v>31</v>
      </c>
      <c r="C63" s="40" t="s">
        <v>30</v>
      </c>
      <c r="D63" s="34">
        <v>776.85</v>
      </c>
      <c r="E63" s="45">
        <f t="shared" si="15"/>
        <v>1.0641780821917808</v>
      </c>
      <c r="F63" s="4"/>
      <c r="G63" s="59">
        <f t="shared" si="16"/>
        <v>17.191796917808222</v>
      </c>
      <c r="H63" s="109">
        <f t="shared" si="14"/>
        <v>12.607317739726028</v>
      </c>
      <c r="I63" s="62">
        <f t="shared" si="14"/>
        <v>8.0228385616438356</v>
      </c>
    </row>
    <row r="64" spans="1:9" x14ac:dyDescent="0.25">
      <c r="B64" s="39" t="s">
        <v>34</v>
      </c>
      <c r="C64" s="40" t="s">
        <v>33</v>
      </c>
      <c r="D64" s="34">
        <v>166.58</v>
      </c>
      <c r="E64" s="45">
        <f t="shared" si="15"/>
        <v>0.22819178082191782</v>
      </c>
      <c r="F64" s="4"/>
      <c r="G64" s="59">
        <f t="shared" si="16"/>
        <v>3.6864382191780831</v>
      </c>
      <c r="H64" s="109">
        <f t="shared" si="14"/>
        <v>2.7033880273972604</v>
      </c>
      <c r="I64" s="62">
        <f t="shared" si="14"/>
        <v>1.7203378356164385</v>
      </c>
    </row>
    <row r="65" spans="1:9" x14ac:dyDescent="0.25">
      <c r="B65" s="39" t="s">
        <v>36</v>
      </c>
      <c r="C65" s="40" t="s">
        <v>35</v>
      </c>
      <c r="D65" s="34">
        <v>331.83</v>
      </c>
      <c r="E65" s="45">
        <f t="shared" si="15"/>
        <v>0.45456164383561642</v>
      </c>
      <c r="F65" s="4"/>
      <c r="G65" s="59">
        <f t="shared" si="16"/>
        <v>7.343443356164383</v>
      </c>
      <c r="H65" s="109">
        <f t="shared" si="14"/>
        <v>5.3851917945205479</v>
      </c>
      <c r="I65" s="62">
        <f t="shared" si="14"/>
        <v>3.4269402328767122</v>
      </c>
    </row>
    <row r="66" spans="1:9" x14ac:dyDescent="0.25">
      <c r="B66" s="39" t="s">
        <v>37</v>
      </c>
      <c r="C66" s="40" t="s">
        <v>35</v>
      </c>
      <c r="D66" s="34">
        <v>281.23</v>
      </c>
      <c r="E66" s="45">
        <f t="shared" si="15"/>
        <v>0.38524657534246576</v>
      </c>
      <c r="F66" s="4"/>
      <c r="G66" s="59">
        <f t="shared" si="16"/>
        <v>6.2236584246575344</v>
      </c>
      <c r="H66" s="109">
        <f t="shared" si="14"/>
        <v>4.5640161780821922</v>
      </c>
      <c r="I66" s="62">
        <f t="shared" si="14"/>
        <v>2.9043739315068495</v>
      </c>
    </row>
    <row r="67" spans="1:9" ht="15.75" thickBot="1" x14ac:dyDescent="0.3">
      <c r="B67" s="29" t="s">
        <v>70</v>
      </c>
      <c r="C67" s="42" t="s">
        <v>38</v>
      </c>
      <c r="D67" s="31">
        <v>4241.21</v>
      </c>
      <c r="E67" s="46">
        <f t="shared" si="15"/>
        <v>5.8098767123287676</v>
      </c>
      <c r="F67" s="30"/>
      <c r="G67" s="60">
        <f t="shared" si="16"/>
        <v>93.858558287671229</v>
      </c>
      <c r="H67" s="110">
        <f t="shared" si="14"/>
        <v>68.829609410958895</v>
      </c>
      <c r="I67" s="63">
        <f t="shared" si="14"/>
        <v>43.800660534246575</v>
      </c>
    </row>
    <row r="68" spans="1:9" ht="15.75" thickBot="1" x14ac:dyDescent="0.3">
      <c r="F68" s="97" t="s">
        <v>39</v>
      </c>
      <c r="G68" s="106">
        <f>SUM(G60:G67)</f>
        <v>144.98559246575343</v>
      </c>
      <c r="H68" s="106">
        <f t="shared" ref="H68:I68" si="17">SUM(H60:H67)</f>
        <v>106.32276780821917</v>
      </c>
      <c r="I68" s="107">
        <f t="shared" si="17"/>
        <v>67.659943150684938</v>
      </c>
    </row>
    <row r="69" spans="1:9" ht="15.75" thickBot="1" x14ac:dyDescent="0.3">
      <c r="G69" s="33"/>
    </row>
    <row r="70" spans="1:9" ht="18" thickBot="1" x14ac:dyDescent="0.3">
      <c r="A70" s="10">
        <v>5</v>
      </c>
      <c r="B70" s="32"/>
      <c r="C70" s="77"/>
      <c r="D70" s="79" t="s">
        <v>84</v>
      </c>
      <c r="E70" s="78"/>
      <c r="F70" s="79"/>
      <c r="G70" s="77">
        <f>G36+G48+G55+G68</f>
        <v>878.53723808829909</v>
      </c>
      <c r="H70" s="77">
        <f>H36+H48+H55+H68</f>
        <v>765.18452986708508</v>
      </c>
      <c r="I70" s="78">
        <f>I36+I48+I55+I68</f>
        <v>8.5359111531063547</v>
      </c>
    </row>
    <row r="71" spans="1:9" x14ac:dyDescent="0.25">
      <c r="G71" s="37"/>
    </row>
    <row r="72" spans="1:9" x14ac:dyDescent="0.25">
      <c r="G72" s="116"/>
    </row>
    <row r="73" spans="1:9" x14ac:dyDescent="0.25">
      <c r="G73" s="37"/>
    </row>
    <row r="74" spans="1:9" x14ac:dyDescent="0.25">
      <c r="G74" s="37"/>
      <c r="H74" s="37"/>
      <c r="I74" s="37"/>
    </row>
  </sheetData>
  <mergeCells count="5">
    <mergeCell ref="G16:I16"/>
    <mergeCell ref="A17:C17"/>
    <mergeCell ref="G17:I17"/>
    <mergeCell ref="G59:I59"/>
    <mergeCell ref="G52:I52"/>
  </mergeCells>
  <pageMargins left="0.7" right="0.7" top="0.75" bottom="0.75" header="0.3" footer="0.3"/>
  <pageSetup paperSize="3" scale="77" fitToHeight="0" orientation="landscape" r:id="rId1"/>
  <rowBreaks count="1" manualBreakCount="1">
    <brk id="4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 xmlns="f4789d0d-4217-4eb9-9d39-03eb9f0b5d14">31</Status_>
    <Appendix_x0020_name xmlns="f4789d0d-4217-4eb9-9d39-03eb9f0b5d14" xsi:nil="true"/>
    <Appendix_x0020_Number xmlns="f4789d0d-4217-4eb9-9d39-03eb9f0b5d14">013F</Appendix_x0020_Number>
    <Project_x0020_team_x0020_notes xmlns="f4789d0d-4217-4eb9-9d39-03eb9f0b5d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1100231FDB34BA2AB55BC62E70A7E" ma:contentTypeVersion="4" ma:contentTypeDescription="Create a new document." ma:contentTypeScope="" ma:versionID="1a933de33fe38952d66aae841af6a6e2">
  <xsd:schema xmlns:xsd="http://www.w3.org/2001/XMLSchema" xmlns:xs="http://www.w3.org/2001/XMLSchema" xmlns:p="http://schemas.microsoft.com/office/2006/metadata/properties" xmlns:ns2="f4789d0d-4217-4eb9-9d39-03eb9f0b5d14" targetNamespace="http://schemas.microsoft.com/office/2006/metadata/properties" ma:root="true" ma:fieldsID="df5989be88242f6cac769ea18d8464e7" ns2:_="">
    <xsd:import namespace="f4789d0d-4217-4eb9-9d39-03eb9f0b5d14"/>
    <xsd:element name="properties">
      <xsd:complexType>
        <xsd:sequence>
          <xsd:element name="documentManagement">
            <xsd:complexType>
              <xsd:all>
                <xsd:element ref="ns2:Status_" minOccurs="0"/>
                <xsd:element ref="ns2:Appendix_x0020_Number" minOccurs="0"/>
                <xsd:element ref="ns2:Appendix_x0020_name" minOccurs="0"/>
                <xsd:element ref="ns2:Project_x0020_team_x0020_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9d0d-4217-4eb9-9d39-03eb9f0b5d14" elementFormDefault="qualified">
    <xsd:import namespace="http://schemas.microsoft.com/office/2006/documentManagement/types"/>
    <xsd:import namespace="http://schemas.microsoft.com/office/infopath/2007/PartnerControls"/>
    <xsd:element name="Status_" ma:index="8" nillable="true" ma:displayName="Status_" ma:list="{b45a5fc1-7f3d-4118-9252-18046df1b90a}" ma:internalName="Status_" ma:showField="LinkTitleNoMenu">
      <xsd:simpleType>
        <xsd:restriction base="dms:Lookup"/>
      </xsd:simpleType>
    </xsd:element>
    <xsd:element name="Appendix_x0020_Number" ma:index="9" nillable="true" ma:displayName="App No." ma:internalName="Appendix_x0020_Number">
      <xsd:simpleType>
        <xsd:restriction base="dms:Text">
          <xsd:maxLength value="8"/>
        </xsd:restriction>
      </xsd:simpleType>
    </xsd:element>
    <xsd:element name="Appendix_x0020_name" ma:index="10" nillable="true" ma:displayName="Appendix name" ma:format="Dropdown" ma:internalName="Appendix_x0020_name">
      <xsd:simpleType>
        <xsd:union memberTypes="dms:Text">
          <xsd:simpleType>
            <xsd:restriction base="dms:Choice">
              <xsd:enumeration value="Terms of Reference"/>
              <xsd:enumeration value="Stakeholder Consultation June 2014"/>
              <xsd:enumeration value="Stakeholder Consultation October 2014"/>
              <xsd:enumeration value="Stakeholder Consultation December 2014"/>
              <xsd:enumeration value="Stakeholder Consultation February 2015"/>
              <xsd:enumeration value="Stakeholder Consultation March 2015"/>
              <xsd:enumeration value="Stakeholder Consultation May 2015"/>
              <xsd:enumeration value="Stakeholder Consultation June 2015"/>
              <xsd:enumeration value="Data Requests"/>
              <xsd:enumeration value="Stakeholder Consultation July 2015"/>
              <xsd:enumeration value="Robert Cary Market Design Report"/>
              <xsd:enumeration value="Proposed LRS T and C and Participation Agreement"/>
              <xsd:enumeration value="Proposed Distribution Tariff"/>
              <xsd:enumeration value="Proposed Energy Balancing Services Tariff"/>
              <xsd:enumeration value="Proposed Standby Serivces Tariff"/>
              <xsd:enumeration value="Proposed RtR Transition Tariff"/>
              <xsd:enumeration value="Proposed Revisions to Market Rules"/>
              <xsd:enumeration value="Proposed Revisions to OATT"/>
              <xsd:enumeration value="Proposed Revisions to Generator Interconnection Procedures"/>
            </xsd:restriction>
          </xsd:simpleType>
        </xsd:union>
      </xsd:simpleType>
    </xsd:element>
    <xsd:element name="Project_x0020_team_x0020_notes" ma:index="11" nillable="true" ma:displayName="Project team notes" ma:internalName="Project_x0020_team_x0020_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95BD8-C8DF-454D-953E-9436F744B034}"/>
</file>

<file path=customXml/itemProps2.xml><?xml version="1.0" encoding="utf-8"?>
<ds:datastoreItem xmlns:ds="http://schemas.openxmlformats.org/officeDocument/2006/customXml" ds:itemID="{98686FAA-C51C-42EB-B86C-3855C732B1F8}"/>
</file>

<file path=customXml/itemProps3.xml><?xml version="1.0" encoding="utf-8"?>
<ds:datastoreItem xmlns:ds="http://schemas.openxmlformats.org/officeDocument/2006/customXml" ds:itemID="{B7EFAC95-C50A-4CBC-AD04-77B888417674}"/>
</file>

<file path=customXml/itemProps4.xml><?xml version="1.0" encoding="utf-8"?>
<ds:datastoreItem xmlns:ds="http://schemas.openxmlformats.org/officeDocument/2006/customXml" ds:itemID="{6E095BD8-C8DF-454D-953E-9436F744B034}"/>
</file>

<file path=customXml/itemProps5.xml><?xml version="1.0" encoding="utf-8"?>
<ds:datastoreItem xmlns:ds="http://schemas.openxmlformats.org/officeDocument/2006/customXml" ds:itemID="{80F523FB-85FE-4C34-962C-1FAA1E7FB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DR-2</vt:lpstr>
      <vt:lpstr>'DR-2'!Print_Area</vt:lpstr>
      <vt:lpstr>'DR-2'!Print_Titles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Ellis, Bill</dc:creator>
  <cp:lastModifiedBy>MYATT, LANA</cp:lastModifiedBy>
  <cp:lastPrinted>2015-07-06T19:00:10Z</cp:lastPrinted>
  <dcterms:created xsi:type="dcterms:W3CDTF">2015-06-25T14:55:28Z</dcterms:created>
  <dcterms:modified xsi:type="dcterms:W3CDTF">2015-07-06T19:00:37Z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0x0101002281100231FDB34BA2AB55BC62E70A7E</vt:lpwstr>
  </property>
  <property fmtid="{D5CDD505-2E9C-101B-9397-08002B2CF9AE}" pid="3" name="Order">
    <vt:r8>8600</vt:r8>
  </property>
</Properties>
</file>